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315"/>
  <workbookPr codeName="ThisWorkbook"/>
  <mc:AlternateContent xmlns:mc="http://schemas.openxmlformats.org/markup-compatibility/2006">
    <mc:Choice Requires="x15">
      <x15ac:absPath xmlns:x15ac="http://schemas.microsoft.com/office/spreadsheetml/2010/11/ac" url="/Users/p0070562/Desktop/"/>
    </mc:Choice>
  </mc:AlternateContent>
  <bookViews>
    <workbookView showHorizontalScroll="0" showVerticalScroll="0" showSheetTabs="0" xWindow="1080" yWindow="660" windowWidth="16480" windowHeight="13200"/>
  </bookViews>
  <sheets>
    <sheet name="Calc" sheetId="1" r:id="rId1"/>
    <sheet name="DataValid" sheetId="2" r:id="rId2"/>
    <sheet name="Rules" sheetId="3" r:id="rId3"/>
  </sheets>
  <externalReferences>
    <externalReference r:id="rId4"/>
  </externalReferences>
  <definedNames>
    <definedName name="_xlnm._FilterDatabase" localSheetId="0" hidden="1">Calc!$A$1:$A$94</definedName>
    <definedName name="jobcat">[1]Sheet2!$E$4:$E$28</definedName>
    <definedName name="jobcats">DataValid!$E$4:$E$7</definedName>
    <definedName name="OTMult" localSheetId="2">#REF!</definedName>
    <definedName name="OTMult">#REF!</definedName>
    <definedName name="RateType" localSheetId="2">#REF!</definedName>
    <definedName name="RateType">#REF!</definedName>
    <definedName name="StaffCat" localSheetId="2">#REF!</definedName>
    <definedName name="StaffCat">#REF!</definedName>
    <definedName name="StaffType" localSheetId="2">#REF!</definedName>
    <definedName name="StaffType">#REF!</definedName>
  </definedNames>
  <calcPr calcId="15251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3" l="1"/>
  <c r="D6" i="3"/>
  <c r="B5" i="3"/>
  <c r="G74" i="1"/>
  <c r="B3" i="3"/>
  <c r="E6" i="3"/>
  <c r="G43" i="1"/>
  <c r="H43" i="1"/>
  <c r="H41" i="1"/>
  <c r="G41" i="1"/>
  <c r="G48" i="1"/>
  <c r="G46" i="1"/>
  <c r="G49" i="1"/>
  <c r="G47" i="1"/>
  <c r="S79" i="1"/>
  <c r="S93" i="1"/>
  <c r="Q79" i="1"/>
  <c r="Q93" i="1"/>
  <c r="F78" i="1"/>
  <c r="F79" i="1"/>
  <c r="F93" i="1"/>
  <c r="G78" i="1"/>
  <c r="G79" i="1"/>
  <c r="G93" i="1"/>
  <c r="I29" i="1"/>
  <c r="S80" i="1"/>
  <c r="Q89" i="1"/>
  <c r="Q90" i="1"/>
  <c r="Q91" i="1"/>
  <c r="G80" i="1"/>
  <c r="O79" i="1"/>
  <c r="O93" i="1"/>
  <c r="M79" i="1"/>
  <c r="K79" i="1"/>
  <c r="K93" i="1"/>
  <c r="I79" i="1"/>
  <c r="I93" i="1"/>
  <c r="S82" i="1"/>
  <c r="H46" i="1"/>
  <c r="G45" i="1"/>
  <c r="M93" i="1"/>
  <c r="G83" i="1"/>
  <c r="I30" i="1"/>
  <c r="O83" i="1"/>
  <c r="H45" i="1"/>
  <c r="S83" i="1"/>
  <c r="S81" i="1"/>
  <c r="H47" i="1"/>
  <c r="G82" i="1"/>
  <c r="G81" i="1"/>
  <c r="I31" i="1"/>
  <c r="F82" i="1"/>
  <c r="I32" i="1"/>
  <c r="F83" i="1"/>
  <c r="I80" i="1"/>
  <c r="O82" i="1"/>
  <c r="M91" i="1"/>
  <c r="M89" i="1"/>
  <c r="M90" i="1"/>
  <c r="K83" i="1"/>
  <c r="K82" i="1"/>
  <c r="Q92" i="1"/>
  <c r="Q85" i="1"/>
  <c r="Q86" i="1"/>
  <c r="I45" i="1"/>
  <c r="H49" i="1"/>
  <c r="I33" i="1"/>
  <c r="O89" i="1"/>
  <c r="H48" i="1"/>
  <c r="G90" i="1"/>
  <c r="S91" i="1"/>
  <c r="S92" i="1"/>
  <c r="S90" i="1"/>
  <c r="S89" i="1"/>
  <c r="F90" i="1"/>
  <c r="G89" i="1"/>
  <c r="G92" i="1"/>
  <c r="G91" i="1"/>
  <c r="F92" i="1"/>
  <c r="F89" i="1"/>
  <c r="F91" i="1"/>
  <c r="F85" i="1"/>
  <c r="I83" i="1"/>
  <c r="O90" i="1"/>
  <c r="O91" i="1"/>
  <c r="I81" i="1"/>
  <c r="I82" i="1"/>
  <c r="O92" i="1"/>
  <c r="M92" i="1"/>
  <c r="M85" i="1"/>
  <c r="A18" i="1"/>
  <c r="A19" i="1"/>
  <c r="A16" i="1"/>
  <c r="A17" i="1"/>
  <c r="A14" i="1"/>
  <c r="A15" i="1"/>
  <c r="A12" i="1"/>
  <c r="A13" i="1"/>
  <c r="A10" i="1"/>
  <c r="A11" i="1"/>
  <c r="A2" i="1"/>
  <c r="A3" i="1"/>
  <c r="H78" i="1"/>
  <c r="H79" i="1"/>
  <c r="H93" i="1"/>
  <c r="R78" i="1"/>
  <c r="G85" i="1"/>
  <c r="G86" i="1"/>
  <c r="Q84" i="1"/>
  <c r="S85" i="1"/>
  <c r="S86" i="1"/>
  <c r="O85" i="1"/>
  <c r="G51" i="1"/>
  <c r="M84" i="1"/>
  <c r="M86" i="1"/>
  <c r="I90" i="1"/>
  <c r="I92" i="1"/>
  <c r="I89" i="1"/>
  <c r="I91" i="1"/>
  <c r="K92" i="1"/>
  <c r="K90" i="1"/>
  <c r="K89" i="1"/>
  <c r="K91" i="1"/>
  <c r="G22" i="1"/>
  <c r="K85" i="1"/>
  <c r="I85" i="1"/>
  <c r="G50" i="1"/>
  <c r="O86" i="1"/>
  <c r="H51" i="1"/>
  <c r="R79" i="1"/>
  <c r="R80" i="1"/>
  <c r="I35" i="1"/>
  <c r="F84" i="1"/>
  <c r="F86" i="1"/>
  <c r="T78" i="1"/>
  <c r="T79" i="1"/>
  <c r="T80" i="1"/>
  <c r="S84" i="1"/>
  <c r="O84" i="1"/>
  <c r="L78" i="1"/>
  <c r="P78" i="1"/>
  <c r="N78" i="1"/>
  <c r="I72" i="1"/>
  <c r="H50" i="1"/>
  <c r="I86" i="1"/>
  <c r="J78" i="1"/>
  <c r="K84" i="1"/>
  <c r="K86" i="1"/>
  <c r="I84" i="1"/>
  <c r="H32" i="1"/>
  <c r="G32" i="1"/>
  <c r="H92" i="1"/>
  <c r="F2" i="1"/>
  <c r="F4" i="1"/>
  <c r="N79" i="1"/>
  <c r="N80" i="1"/>
  <c r="P79" i="1"/>
  <c r="P80" i="1"/>
  <c r="G84" i="1"/>
  <c r="H91" i="1"/>
  <c r="H90" i="1"/>
  <c r="H89" i="1"/>
  <c r="H85" i="1"/>
  <c r="I34" i="1"/>
  <c r="H86" i="1"/>
  <c r="H30" i="1"/>
  <c r="H29" i="1"/>
  <c r="G29" i="1"/>
  <c r="J79" i="1"/>
  <c r="L79" i="1"/>
  <c r="L80" i="1"/>
  <c r="G30" i="1"/>
  <c r="H31" i="1"/>
  <c r="G31" i="1"/>
  <c r="J80" i="1"/>
  <c r="H33" i="1"/>
  <c r="G33" i="1"/>
  <c r="H35" i="1"/>
  <c r="G35" i="1"/>
  <c r="H84" i="1"/>
  <c r="H34" i="1"/>
  <c r="G34" i="1"/>
</calcChain>
</file>

<file path=xl/sharedStrings.xml><?xml version="1.0" encoding="utf-8"?>
<sst xmlns="http://schemas.openxmlformats.org/spreadsheetml/2006/main" count="124" uniqueCount="77">
  <si>
    <t>Pay Rate</t>
  </si>
  <si>
    <t>Agency Fee</t>
  </si>
  <si>
    <t>Hourly</t>
  </si>
  <si>
    <t>Weekly</t>
  </si>
  <si>
    <t>Ltd Co or PAYE</t>
  </si>
  <si>
    <t>PAYE</t>
  </si>
  <si>
    <t>Pay</t>
  </si>
  <si>
    <t>Pension</t>
  </si>
  <si>
    <t>NI</t>
  </si>
  <si>
    <t>Charge</t>
  </si>
  <si>
    <t>Candidate Summary</t>
  </si>
  <si>
    <t>Charge Rate</t>
  </si>
  <si>
    <t>User Input</t>
  </si>
  <si>
    <t>Charge Rate (Excl. VAT)</t>
  </si>
  <si>
    <t>National Insurance</t>
  </si>
  <si>
    <t>Pension element (On Pay + WTR)</t>
  </si>
  <si>
    <t>WTD</t>
  </si>
  <si>
    <t>General</t>
  </si>
  <si>
    <t>Summary Of Estimated Charges</t>
  </si>
  <si>
    <t>N.B.</t>
  </si>
  <si>
    <t>Standard</t>
  </si>
  <si>
    <t>Please note that P&amp;C calcs are for a guide only. The actual charge will fluctuate based on actual hours due to NI etc.</t>
  </si>
  <si>
    <t>Hourly / Daily Rate</t>
  </si>
  <si>
    <t>Daily</t>
  </si>
  <si>
    <t>Hourly / Daily Pay Rate</t>
  </si>
  <si>
    <t>WTD Calculations Based On</t>
  </si>
  <si>
    <t>Calculations</t>
  </si>
  <si>
    <t>=</t>
  </si>
  <si>
    <t>NI Calculations Based On</t>
  </si>
  <si>
    <t>Fixed</t>
  </si>
  <si>
    <t>Pension Calculations Based On</t>
  </si>
  <si>
    <t>Agency Fees Calculations Based On</t>
  </si>
  <si>
    <t>LTD</t>
  </si>
  <si>
    <t>Hours / Days Per Week (Standard)</t>
  </si>
  <si>
    <t>Margin</t>
  </si>
  <si>
    <t>Markup On Pay</t>
  </si>
  <si>
    <t>Markup On All (Bar Pension)</t>
  </si>
  <si>
    <t>Notes &amp; Variables</t>
  </si>
  <si>
    <t>Please Populate / Edit the cells in Green</t>
  </si>
  <si>
    <t>On Pay</t>
  </si>
  <si>
    <t>On Pay + WTD</t>
  </si>
  <si>
    <t>NI Threshold (If Actual)</t>
  </si>
  <si>
    <t>Agency Fees</t>
  </si>
  <si>
    <t>Per Hour</t>
  </si>
  <si>
    <t>Fixed Pence</t>
  </si>
  <si>
    <t>Apprenticeship Levy</t>
  </si>
  <si>
    <t>LTD to PAYE Equiv</t>
  </si>
  <si>
    <t>Charge Minus Pens &amp; Levy</t>
  </si>
  <si>
    <t>Supplier</t>
  </si>
  <si>
    <t>Job Category</t>
  </si>
  <si>
    <t>Spare 1</t>
  </si>
  <si>
    <t>Spare 2</t>
  </si>
  <si>
    <t>Charge Code</t>
  </si>
  <si>
    <t>Use?</t>
  </si>
  <si>
    <t>Ltd Co</t>
  </si>
  <si>
    <t>Reed</t>
  </si>
  <si>
    <t>Support Supplier</t>
  </si>
  <si>
    <r>
      <t xml:space="preserve">N.B. Equivalent </t>
    </r>
    <r>
      <rPr>
        <b/>
        <u/>
        <sz val="9"/>
        <color rgb="FFFF0000"/>
        <rFont val="Calibri"/>
        <family val="2"/>
      </rPr>
      <t>Pay</t>
    </r>
    <r>
      <rPr>
        <b/>
        <sz val="9"/>
        <color rgb="FFFF0000"/>
        <rFont val="Calibri"/>
        <family val="2"/>
      </rPr>
      <t xml:space="preserve"> Rates do not take into account Pension or Apprenticeship Levy. Charge Rates Do</t>
    </r>
  </si>
  <si>
    <t>PAYE to LTD Equiv</t>
  </si>
  <si>
    <t>LTD to Deemed Equiv</t>
  </si>
  <si>
    <t>PAYE to Deemed Equiv</t>
  </si>
  <si>
    <t>Deemed</t>
  </si>
  <si>
    <t>PAYE&lt;&gt;LTD&lt;&gt;Deemed</t>
  </si>
  <si>
    <t>Deemed to LTD Equiv</t>
  </si>
  <si>
    <t>Deemed to PAYEEquiv</t>
  </si>
  <si>
    <t>LTD PAYE</t>
  </si>
  <si>
    <t>LTD Deemed</t>
  </si>
  <si>
    <t>PAYE LTD</t>
  </si>
  <si>
    <t>PAYE Deemed</t>
  </si>
  <si>
    <t>Deemed LTD</t>
  </si>
  <si>
    <t>Deemed PAYE</t>
  </si>
  <si>
    <t>Multiplier</t>
  </si>
  <si>
    <t>Or if Fixed Pence / Multiplier Then</t>
  </si>
  <si>
    <t>Lot 1</t>
  </si>
  <si>
    <t>Lot 5</t>
  </si>
  <si>
    <t>Rate</t>
  </si>
  <si>
    <t>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</si>
</sst>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£&quot;#,##0.00;\-&quot;£&quot;#,##0.00"/>
    <numFmt numFmtId="165" formatCode="_-&quot;£&quot;* #,##0.00_-;\-&quot;£&quot;* #,##0.00_-;_-&quot;£&quot;* &quot;-&quot;??_-;_-@_-"/>
    <numFmt numFmtId="166" formatCode="&quot;£&quot;#,##0.00"/>
    <numFmt numFmtId="167" formatCode="0_ ;\-0\ "/>
    <numFmt numFmtId="168" formatCode="&quot;£&quot;#,##0.00000;\-&quot;£&quot;#,##0.00000"/>
  </numFmts>
  <fonts count="19" x14ac:knownFonts="1">
    <font>
      <sz val="8"/>
      <color theme="1"/>
      <name val="Calibri"/>
      <family val="2"/>
      <scheme val="minor"/>
    </font>
    <font>
      <sz val="8"/>
      <color indexed="8"/>
      <name val="Calibri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b/>
      <u/>
      <sz val="9"/>
      <name val="Calibri"/>
      <family val="2"/>
    </font>
    <font>
      <sz val="9"/>
      <name val="Calibri"/>
      <family val="2"/>
    </font>
    <font>
      <sz val="9"/>
      <color theme="0"/>
      <name val="Calibri"/>
      <family val="2"/>
    </font>
    <font>
      <b/>
      <sz val="9"/>
      <name val="Calibri"/>
      <family val="2"/>
    </font>
    <font>
      <sz val="8"/>
      <color theme="1"/>
      <name val="Calibri"/>
      <family val="2"/>
      <scheme val="minor"/>
    </font>
    <font>
      <b/>
      <sz val="9"/>
      <color rgb="FFFF0000"/>
      <name val="Calibri"/>
      <family val="2"/>
    </font>
    <font>
      <b/>
      <i/>
      <sz val="9"/>
      <name val="Calibri"/>
      <family val="2"/>
    </font>
    <font>
      <b/>
      <i/>
      <sz val="9"/>
      <color indexed="8"/>
      <name val="Calibri"/>
      <family val="2"/>
    </font>
    <font>
      <i/>
      <sz val="9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9"/>
      <color rgb="FFFF0000"/>
      <name val="Calibri"/>
      <family val="2"/>
    </font>
    <font>
      <b/>
      <u/>
      <sz val="9"/>
      <color rgb="FFFF0000"/>
      <name val="Calibri"/>
      <family val="2"/>
    </font>
    <font>
      <b/>
      <sz val="9"/>
      <color theme="0" tint="-0.499984740745262"/>
      <name val="Calibri"/>
      <family val="2"/>
    </font>
    <font>
      <sz val="9"/>
      <color theme="0" tint="-0.499984740745262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thin">
        <color theme="0"/>
      </left>
      <right style="thick">
        <color theme="0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/>
      </left>
      <right/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71">
    <xf numFmtId="0" fontId="0" fillId="0" borderId="0" xfId="0"/>
    <xf numFmtId="0" fontId="2" fillId="2" borderId="0" xfId="0" applyFont="1" applyFill="1" applyProtection="1"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2" xfId="0" applyFont="1" applyFill="1" applyBorder="1" applyProtection="1">
      <protection hidden="1"/>
    </xf>
    <xf numFmtId="164" fontId="2" fillId="2" borderId="2" xfId="1" applyNumberFormat="1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Protection="1">
      <protection hidden="1"/>
    </xf>
    <xf numFmtId="164" fontId="2" fillId="2" borderId="1" xfId="1" applyNumberFormat="1" applyFont="1" applyFill="1" applyBorder="1" applyAlignment="1" applyProtection="1">
      <alignment horizont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4" fillId="2" borderId="0" xfId="0" applyFont="1" applyFill="1" applyBorder="1" applyProtection="1">
      <protection hidden="1"/>
    </xf>
    <xf numFmtId="0" fontId="5" fillId="2" borderId="0" xfId="0" applyFont="1" applyFill="1" applyBorder="1" applyProtection="1">
      <protection hidden="1"/>
    </xf>
    <xf numFmtId="0" fontId="3" fillId="2" borderId="0" xfId="0" applyFont="1" applyFill="1" applyProtection="1">
      <protection hidden="1"/>
    </xf>
    <xf numFmtId="0" fontId="3" fillId="4" borderId="0" xfId="0" applyFont="1" applyFill="1" applyProtection="1">
      <protection hidden="1"/>
    </xf>
    <xf numFmtId="0" fontId="2" fillId="4" borderId="0" xfId="0" applyFont="1" applyFill="1" applyProtection="1">
      <protection hidden="1"/>
    </xf>
    <xf numFmtId="0" fontId="2" fillId="2" borderId="0" xfId="0" applyFont="1" applyFill="1" applyBorder="1" applyProtection="1">
      <protection hidden="1"/>
    </xf>
    <xf numFmtId="0" fontId="2" fillId="6" borderId="0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Alignment="1" applyProtection="1">
      <alignment vertical="center"/>
      <protection hidden="1"/>
    </xf>
    <xf numFmtId="0" fontId="7" fillId="2" borderId="0" xfId="0" applyFont="1" applyFill="1" applyBorder="1" applyProtection="1">
      <protection hidden="1"/>
    </xf>
    <xf numFmtId="10" fontId="2" fillId="5" borderId="0" xfId="2" applyNumberFormat="1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/>
      <protection hidden="1"/>
    </xf>
    <xf numFmtId="0" fontId="2" fillId="7" borderId="0" xfId="0" applyFont="1" applyFill="1" applyProtection="1">
      <protection hidden="1"/>
    </xf>
    <xf numFmtId="0" fontId="7" fillId="7" borderId="0" xfId="0" applyFont="1" applyFill="1" applyBorder="1" applyProtection="1">
      <protection hidden="1"/>
    </xf>
    <xf numFmtId="0" fontId="3" fillId="7" borderId="0" xfId="0" applyFont="1" applyFill="1" applyProtection="1">
      <protection hidden="1"/>
    </xf>
    <xf numFmtId="0" fontId="9" fillId="2" borderId="0" xfId="0" applyFont="1" applyFill="1" applyBorder="1" applyProtection="1">
      <protection hidden="1"/>
    </xf>
    <xf numFmtId="0" fontId="10" fillId="2" borderId="0" xfId="0" applyFont="1" applyFill="1" applyBorder="1" applyAlignment="1" applyProtection="1">
      <alignment horizontal="right"/>
      <protection hidden="1"/>
    </xf>
    <xf numFmtId="0" fontId="11" fillId="2" borderId="0" xfId="0" applyFont="1" applyFill="1" applyProtection="1">
      <protection hidden="1"/>
    </xf>
    <xf numFmtId="166" fontId="12" fillId="5" borderId="0" xfId="0" applyNumberFormat="1" applyFont="1" applyFill="1" applyAlignment="1" applyProtection="1">
      <alignment horizontal="center" vertical="center"/>
      <protection locked="0"/>
    </xf>
    <xf numFmtId="166" fontId="2" fillId="5" borderId="0" xfId="0" applyNumberFormat="1" applyFont="1" applyFill="1" applyAlignment="1" applyProtection="1">
      <alignment horizontal="center" vertical="center"/>
      <protection locked="0"/>
    </xf>
    <xf numFmtId="0" fontId="3" fillId="6" borderId="0" xfId="0" applyFont="1" applyFill="1" applyAlignment="1" applyProtection="1">
      <alignment horizontal="center" vertical="center" textRotation="90" wrapText="1"/>
      <protection hidden="1"/>
    </xf>
    <xf numFmtId="0" fontId="2" fillId="9" borderId="0" xfId="0" applyFont="1" applyFill="1" applyBorder="1" applyAlignment="1" applyProtection="1">
      <alignment horizontal="center" vertical="center" wrapText="1"/>
      <protection hidden="1"/>
    </xf>
    <xf numFmtId="164" fontId="2" fillId="9" borderId="2" xfId="1" applyNumberFormat="1" applyFont="1" applyFill="1" applyBorder="1" applyAlignment="1" applyProtection="1">
      <alignment horizontal="center"/>
      <protection hidden="1"/>
    </xf>
    <xf numFmtId="164" fontId="2" fillId="2" borderId="0" xfId="0" applyNumberFormat="1" applyFont="1" applyFill="1" applyProtection="1">
      <protection hidden="1"/>
    </xf>
    <xf numFmtId="0" fontId="13" fillId="2" borderId="0" xfId="0" applyFont="1" applyFill="1" applyProtection="1">
      <protection hidden="1"/>
    </xf>
    <xf numFmtId="0" fontId="14" fillId="2" borderId="1" xfId="0" applyFont="1" applyFill="1" applyBorder="1" applyProtection="1">
      <protection hidden="1"/>
    </xf>
    <xf numFmtId="164" fontId="14" fillId="3" borderId="1" xfId="1" applyNumberFormat="1" applyFont="1" applyFill="1" applyBorder="1" applyAlignment="1" applyProtection="1">
      <alignment horizontal="center"/>
      <protection hidden="1"/>
    </xf>
    <xf numFmtId="164" fontId="13" fillId="2" borderId="1" xfId="1" applyNumberFormat="1" applyFont="1" applyFill="1" applyBorder="1" applyAlignment="1" applyProtection="1">
      <alignment horizontal="center"/>
      <protection hidden="1"/>
    </xf>
    <xf numFmtId="0" fontId="14" fillId="2" borderId="2" xfId="0" applyFont="1" applyFill="1" applyBorder="1" applyProtection="1">
      <protection hidden="1"/>
    </xf>
    <xf numFmtId="164" fontId="13" fillId="2" borderId="2" xfId="1" applyNumberFormat="1" applyFont="1" applyFill="1" applyBorder="1" applyAlignment="1" applyProtection="1">
      <alignment horizontal="center"/>
      <protection hidden="1"/>
    </xf>
    <xf numFmtId="167" fontId="14" fillId="3" borderId="1" xfId="1" applyNumberFormat="1" applyFont="1" applyFill="1" applyBorder="1" applyAlignment="1" applyProtection="1">
      <alignment horizontal="center"/>
      <protection hidden="1"/>
    </xf>
    <xf numFmtId="0" fontId="0" fillId="9" borderId="0" xfId="0" applyFill="1"/>
    <xf numFmtId="164" fontId="2" fillId="8" borderId="0" xfId="0" applyNumberFormat="1" applyFont="1" applyFill="1" applyProtection="1">
      <protection locked="0"/>
    </xf>
    <xf numFmtId="164" fontId="15" fillId="8" borderId="3" xfId="2" applyNumberFormat="1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Protection="1">
      <protection hidden="1"/>
    </xf>
    <xf numFmtId="164" fontId="13" fillId="2" borderId="0" xfId="1" applyNumberFormat="1" applyFont="1" applyFill="1" applyBorder="1" applyAlignment="1" applyProtection="1">
      <alignment horizontal="center"/>
      <protection hidden="1"/>
    </xf>
    <xf numFmtId="0" fontId="0" fillId="0" borderId="4" xfId="0" applyBorder="1"/>
    <xf numFmtId="164" fontId="6" fillId="10" borderId="2" xfId="1" applyNumberFormat="1" applyFont="1" applyFill="1" applyBorder="1" applyAlignment="1" applyProtection="1">
      <alignment horizontal="center"/>
      <protection locked="0"/>
    </xf>
    <xf numFmtId="168" fontId="2" fillId="2" borderId="0" xfId="0" applyNumberFormat="1" applyFont="1" applyFill="1" applyProtection="1">
      <protection hidden="1"/>
    </xf>
    <xf numFmtId="0" fontId="17" fillId="2" borderId="2" xfId="0" applyFont="1" applyFill="1" applyBorder="1" applyProtection="1">
      <protection hidden="1"/>
    </xf>
    <xf numFmtId="0" fontId="17" fillId="2" borderId="0" xfId="0" applyFont="1" applyFill="1" applyProtection="1">
      <protection hidden="1"/>
    </xf>
    <xf numFmtId="164" fontId="17" fillId="2" borderId="2" xfId="1" applyNumberFormat="1" applyFont="1" applyFill="1" applyBorder="1" applyAlignment="1" applyProtection="1">
      <alignment horizontal="center"/>
      <protection hidden="1"/>
    </xf>
    <xf numFmtId="0" fontId="18" fillId="2" borderId="1" xfId="0" applyFont="1" applyFill="1" applyBorder="1" applyProtection="1">
      <protection hidden="1"/>
    </xf>
    <xf numFmtId="0" fontId="18" fillId="2" borderId="0" xfId="0" applyFont="1" applyFill="1" applyProtection="1">
      <protection hidden="1"/>
    </xf>
    <xf numFmtId="164" fontId="18" fillId="2" borderId="2" xfId="1" applyNumberFormat="1" applyFont="1" applyFill="1" applyBorder="1" applyAlignment="1" applyProtection="1">
      <alignment horizontal="center"/>
      <protection hidden="1"/>
    </xf>
    <xf numFmtId="0" fontId="17" fillId="2" borderId="1" xfId="0" applyFont="1" applyFill="1" applyBorder="1" applyProtection="1">
      <protection hidden="1"/>
    </xf>
    <xf numFmtId="0" fontId="2" fillId="13" borderId="0" xfId="0" applyFont="1" applyFill="1" applyBorder="1" applyAlignment="1" applyProtection="1">
      <alignment horizontal="center" vertical="center" wrapText="1"/>
      <protection hidden="1"/>
    </xf>
    <xf numFmtId="0" fontId="6" fillId="2" borderId="5" xfId="0" applyFont="1" applyFill="1" applyBorder="1" applyProtection="1">
      <protection hidden="1"/>
    </xf>
    <xf numFmtId="0" fontId="2" fillId="2" borderId="5" xfId="0" applyFont="1" applyFill="1" applyBorder="1" applyProtection="1">
      <protection hidden="1"/>
    </xf>
    <xf numFmtId="0" fontId="2" fillId="7" borderId="0" xfId="0" applyFont="1" applyFill="1" applyBorder="1" applyProtection="1">
      <protection hidden="1"/>
    </xf>
    <xf numFmtId="0" fontId="2" fillId="7" borderId="0" xfId="0" applyFont="1" applyFill="1" applyAlignment="1" applyProtection="1">
      <alignment vertical="center"/>
      <protection hidden="1"/>
    </xf>
    <xf numFmtId="0" fontId="13" fillId="7" borderId="0" xfId="0" applyFont="1" applyFill="1" applyProtection="1">
      <protection hidden="1"/>
    </xf>
    <xf numFmtId="164" fontId="15" fillId="7" borderId="0" xfId="2" applyNumberFormat="1" applyFont="1" applyFill="1" applyBorder="1" applyAlignment="1" applyProtection="1">
      <alignment horizontal="center" vertical="center"/>
      <protection hidden="1"/>
    </xf>
    <xf numFmtId="166" fontId="2" fillId="15" borderId="0" xfId="0" applyNumberFormat="1" applyFont="1" applyFill="1" applyAlignment="1" applyProtection="1">
      <alignment horizontal="center" vertical="center"/>
      <protection hidden="1"/>
    </xf>
    <xf numFmtId="0" fontId="2" fillId="14" borderId="0" xfId="0" applyFont="1" applyFill="1" applyBorder="1" applyAlignment="1" applyProtection="1">
      <alignment horizontal="center" vertical="center" wrapText="1"/>
      <protection hidden="1"/>
    </xf>
    <xf numFmtId="0" fontId="3" fillId="5" borderId="0" xfId="0" applyFont="1" applyFill="1" applyAlignment="1" applyProtection="1">
      <alignment horizontal="center" vertical="center" textRotation="90" wrapText="1"/>
      <protection hidden="1"/>
    </xf>
    <xf numFmtId="0" fontId="2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textRotation="90" wrapText="1"/>
      <protection hidden="1"/>
    </xf>
    <xf numFmtId="0" fontId="2" fillId="5" borderId="0" xfId="0" applyFont="1" applyFill="1" applyAlignment="1" applyProtection="1">
      <alignment horizontal="center" vertical="center"/>
      <protection locked="0"/>
    </xf>
    <xf numFmtId="166" fontId="2" fillId="5" borderId="0" xfId="0" applyNumberFormat="1" applyFont="1" applyFill="1" applyAlignment="1" applyProtection="1">
      <alignment horizontal="center" vertical="center"/>
      <protection locked="0"/>
    </xf>
    <xf numFmtId="0" fontId="2" fillId="12" borderId="0" xfId="0" applyFont="1" applyFill="1" applyBorder="1" applyAlignment="1" applyProtection="1">
      <alignment horizontal="center" vertical="center" wrapText="1"/>
      <protection hidden="1"/>
    </xf>
    <xf numFmtId="0" fontId="2" fillId="11" borderId="0" xfId="0" applyFont="1" applyFill="1" applyBorder="1" applyAlignment="1" applyProtection="1">
      <alignment horizontal="center" vertical="center" wrapText="1"/>
      <protection hidden="1"/>
    </xf>
    <xf numFmtId="0" fontId="9" fillId="7" borderId="5" xfId="0" applyFont="1" applyFill="1" applyBorder="1" applyAlignment="1" applyProtection="1">
      <alignment horizontal="center" vertical="center" wrapText="1"/>
      <protection hidden="1"/>
    </xf>
    <xf numFmtId="0" fontId="9" fillId="7" borderId="0" xfId="0" applyFont="1" applyFill="1" applyBorder="1" applyAlignment="1" applyProtection="1">
      <alignment horizontal="center" vertical="center" wrapText="1"/>
      <protection hidden="1"/>
    </xf>
  </cellXfs>
  <cellStyles count="3">
    <cellStyle name="Currency" xfId="1" builtinId="4"/>
    <cellStyle name="Normal" xfId="0" builtinId="0"/>
    <cellStyle name="Percent" xfId="2" builtinId="5"/>
  </cellStyles>
  <dxfs count="6">
    <dxf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3F5D3"/>
      <rgbColor rgb="00FFFF99"/>
      <rgbColor rgb="00C6DDF6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externalLink" Target="externalLinks/externalLink1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123826</xdr:colOff>
      <xdr:row>3</xdr:row>
      <xdr:rowOff>47625</xdr:rowOff>
    </xdr:from>
    <xdr:to>
      <xdr:col>9</xdr:col>
      <xdr:colOff>161925</xdr:colOff>
      <xdr:row>8</xdr:row>
      <xdr:rowOff>0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24376" y="304800"/>
          <a:ext cx="1047749" cy="50487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/RMS%20Group/2053%20Group/@GMT-2019.09.04-11.15.02/Adam's%20MI/8.%20P&amp;C/March%202017/P&amp;C%20Internal%20Template%20Notts%20CC%20201703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4">
          <cell r="E4" t="str">
            <v>Admin &amp; Clerical</v>
          </cell>
        </row>
        <row r="5">
          <cell r="E5" t="str">
            <v>Education (Non-qualified)</v>
          </cell>
        </row>
        <row r="6">
          <cell r="E6" t="str">
            <v>Education (Qualified)</v>
          </cell>
        </row>
        <row r="7">
          <cell r="E7" t="str">
            <v>Engineering &amp; Surveying</v>
          </cell>
        </row>
        <row r="8">
          <cell r="E8" t="str">
            <v>Facilities &amp; Environmental Health</v>
          </cell>
        </row>
        <row r="9">
          <cell r="E9" t="str">
            <v>Finance</v>
          </cell>
        </row>
        <row r="10">
          <cell r="E10" t="str">
            <v>Housing, Benefits &amp; Planning</v>
          </cell>
        </row>
        <row r="11">
          <cell r="E11" t="str">
            <v>HR</v>
          </cell>
        </row>
        <row r="12">
          <cell r="E12" t="str">
            <v>IT</v>
          </cell>
        </row>
        <row r="13">
          <cell r="E13" t="str">
            <v xml:space="preserve">Legal </v>
          </cell>
        </row>
        <row r="14">
          <cell r="E14" t="str">
            <v>Management</v>
          </cell>
        </row>
        <row r="15">
          <cell r="E15" t="str">
            <v>Manual Labour</v>
          </cell>
        </row>
        <row r="16">
          <cell r="E16" t="str">
            <v>Marketing</v>
          </cell>
        </row>
        <row r="17">
          <cell r="E17" t="str">
            <v>Procurement</v>
          </cell>
        </row>
        <row r="18">
          <cell r="E18" t="str">
            <v>Social &amp; Healthcare (Non-qualified)</v>
          </cell>
        </row>
        <row r="19">
          <cell r="E19" t="str">
            <v>Social &amp; Healthcare (Qualified)</v>
          </cell>
        </row>
        <row r="20">
          <cell r="E20" t="str">
            <v>Trade &amp; Operatives</v>
          </cell>
        </row>
        <row r="21">
          <cell r="E21" t="str">
            <v>Client Referral</v>
          </cell>
        </row>
        <row r="22">
          <cell r="E22" t="str">
            <v>Client Referral - Day Rate Only</v>
          </cell>
        </row>
        <row r="23">
          <cell r="E23" t="str">
            <v>Day Rate &lt;£400 p/d</v>
          </cell>
        </row>
        <row r="24">
          <cell r="E24" t="str">
            <v>Day Rate &gt;£400 p/d</v>
          </cell>
        </row>
        <row r="25">
          <cell r="E25" t="str">
            <v>Ex Police</v>
          </cell>
        </row>
        <row r="26">
          <cell r="E26" t="str">
            <v>Manual Labour GI Group Only</v>
          </cell>
        </row>
        <row r="27">
          <cell r="E27" t="str">
            <v>Sleep In</v>
          </cell>
        </row>
        <row r="28">
          <cell r="E28" t="str">
            <v>Venn Alignments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filterMode="1" enableFormatConditionsCalculation="0"/>
  <dimension ref="A1:T94"/>
  <sheetViews>
    <sheetView showGridLines="0" showRowColHeaders="0" tabSelected="1" topLeftCell="B1" workbookViewId="0">
      <selection activeCell="G12" sqref="G12:H12"/>
    </sheetView>
  </sheetViews>
  <sheetFormatPr baseColWidth="10" defaultColWidth="8.75" defaultRowHeight="12" x14ac:dyDescent="0.15"/>
  <cols>
    <col min="1" max="1" width="2.25" style="41" hidden="1" customWidth="1"/>
    <col min="2" max="2" width="1.25" style="1" customWidth="1"/>
    <col min="3" max="3" width="2.75" style="1" customWidth="1"/>
    <col min="4" max="4" width="1.25" style="1" customWidth="1"/>
    <col min="5" max="5" width="33.5" style="1" customWidth="1"/>
    <col min="6" max="6" width="2.75" style="1" customWidth="1"/>
    <col min="7" max="9" width="17.75" style="1" customWidth="1"/>
    <col min="10" max="10" width="3.75" style="1" customWidth="1"/>
    <col min="11" max="11" width="7.75" style="1" bestFit="1" customWidth="1"/>
    <col min="12" max="12" width="13.75" style="1" bestFit="1" customWidth="1"/>
    <col min="13" max="13" width="9.25" style="1" bestFit="1" customWidth="1"/>
    <col min="14" max="14" width="15.75" style="1" customWidth="1"/>
    <col min="15" max="15" width="9.25" style="1" bestFit="1" customWidth="1"/>
    <col min="16" max="16" width="13.75" style="1" bestFit="1" customWidth="1"/>
    <col min="17" max="18" width="8.75" style="1"/>
    <col min="19" max="20" width="13.25" style="1" customWidth="1"/>
    <col min="21" max="16384" width="8.75" style="1"/>
  </cols>
  <sheetData>
    <row r="1" spans="1:12" ht="4.5" customHeight="1" x14ac:dyDescent="0.15"/>
    <row r="2" spans="1:12" x14ac:dyDescent="0.15">
      <c r="A2" s="41">
        <f>DataValid!B2</f>
        <v>1</v>
      </c>
      <c r="C2" s="62" t="s">
        <v>12</v>
      </c>
      <c r="E2" s="7" t="s">
        <v>22</v>
      </c>
      <c r="F2" s="15">
        <f>IF(G2&lt;8,1,IF(G2&lt;10.01,2,IF(G2&lt;15.01,3,IF(G2&lt;20.01,4,IF(G2&lt;25.01,5,IF(G2&lt;30.01,6,7))))))</f>
        <v>7</v>
      </c>
      <c r="G2" s="66" t="s">
        <v>23</v>
      </c>
      <c r="H2" s="66"/>
      <c r="I2" s="2"/>
      <c r="J2" s="2"/>
      <c r="K2" s="2"/>
      <c r="L2" s="2"/>
    </row>
    <row r="3" spans="1:12" ht="3.75" customHeight="1" x14ac:dyDescent="0.15">
      <c r="A3" s="41">
        <f>A2</f>
        <v>1</v>
      </c>
      <c r="C3" s="62"/>
      <c r="E3" s="7"/>
      <c r="G3" s="2"/>
      <c r="H3" s="2"/>
      <c r="I3" s="2"/>
      <c r="J3" s="2"/>
      <c r="K3" s="2"/>
      <c r="L3" s="2"/>
    </row>
    <row r="4" spans="1:12" x14ac:dyDescent="0.15">
      <c r="A4" s="41">
        <v>1</v>
      </c>
      <c r="C4" s="62"/>
      <c r="E4" s="7" t="s">
        <v>24</v>
      </c>
      <c r="F4" s="15">
        <f>IF(G4&lt;8,1,IF(G4&lt;10.01,2,IF(G4&lt;15.01,3,IF(G4&lt;20.01,4,IF(G4&lt;25.01,5,IF(G4&lt;30.01,6,7))))))</f>
        <v>4</v>
      </c>
      <c r="G4" s="66">
        <v>20</v>
      </c>
      <c r="H4" s="66"/>
      <c r="I4" s="2"/>
      <c r="J4" s="2"/>
      <c r="K4" s="2"/>
      <c r="L4" s="2"/>
    </row>
    <row r="5" spans="1:12" ht="3.75" customHeight="1" x14ac:dyDescent="0.15">
      <c r="A5" s="41">
        <v>1</v>
      </c>
      <c r="C5" s="62"/>
      <c r="E5" s="7"/>
      <c r="G5" s="2"/>
      <c r="H5" s="2"/>
      <c r="I5" s="2"/>
      <c r="J5" s="2"/>
      <c r="K5" s="2"/>
      <c r="L5" s="2"/>
    </row>
    <row r="6" spans="1:12" x14ac:dyDescent="0.15">
      <c r="A6" s="41">
        <v>1</v>
      </c>
      <c r="C6" s="62"/>
      <c r="E6" s="7" t="s">
        <v>33</v>
      </c>
      <c r="G6" s="65">
        <v>35</v>
      </c>
      <c r="H6" s="65"/>
      <c r="I6" s="2"/>
      <c r="J6" s="2"/>
      <c r="K6" s="2"/>
      <c r="L6" s="2"/>
    </row>
    <row r="7" spans="1:12" ht="3.75" customHeight="1" x14ac:dyDescent="0.15">
      <c r="A7" s="41">
        <v>1</v>
      </c>
      <c r="C7" s="62"/>
      <c r="E7" s="7"/>
      <c r="G7" s="2"/>
      <c r="H7" s="2"/>
      <c r="I7" s="2"/>
      <c r="J7" s="2"/>
      <c r="K7" s="2"/>
      <c r="L7" s="2"/>
    </row>
    <row r="8" spans="1:12" x14ac:dyDescent="0.15">
      <c r="A8" s="41">
        <v>1</v>
      </c>
      <c r="C8" s="62"/>
      <c r="E8" s="7" t="s">
        <v>4</v>
      </c>
      <c r="G8" s="65" t="s">
        <v>5</v>
      </c>
      <c r="H8" s="65"/>
      <c r="I8" s="2"/>
      <c r="J8" s="2"/>
      <c r="K8" s="57"/>
      <c r="L8" s="57"/>
    </row>
    <row r="9" spans="1:12" ht="3.75" customHeight="1" x14ac:dyDescent="0.15">
      <c r="A9" s="41">
        <v>1</v>
      </c>
      <c r="C9" s="62"/>
      <c r="E9" s="7"/>
      <c r="G9" s="2"/>
      <c r="H9" s="2"/>
      <c r="I9" s="2"/>
      <c r="J9" s="2"/>
      <c r="K9" s="57"/>
      <c r="L9" s="57"/>
    </row>
    <row r="10" spans="1:12" hidden="1" x14ac:dyDescent="0.15">
      <c r="A10" s="41">
        <f>DataValid!D2</f>
        <v>0</v>
      </c>
      <c r="C10" s="62"/>
      <c r="E10" s="7" t="s">
        <v>48</v>
      </c>
      <c r="G10" s="65"/>
      <c r="H10" s="65"/>
      <c r="I10" s="2"/>
      <c r="J10" s="2"/>
      <c r="K10" s="2"/>
      <c r="L10" s="2"/>
    </row>
    <row r="11" spans="1:12" hidden="1" x14ac:dyDescent="0.15">
      <c r="A11" s="41">
        <f>A10</f>
        <v>0</v>
      </c>
      <c r="C11" s="62"/>
      <c r="E11" s="7"/>
      <c r="G11" s="2"/>
      <c r="H11" s="2"/>
      <c r="I11" s="2"/>
      <c r="J11" s="2"/>
      <c r="K11" s="2"/>
      <c r="L11" s="2"/>
    </row>
    <row r="12" spans="1:12" x14ac:dyDescent="0.15">
      <c r="A12" s="41">
        <f>DataValid!E2</f>
        <v>1</v>
      </c>
      <c r="C12" s="62"/>
      <c r="E12" s="7" t="s">
        <v>49</v>
      </c>
      <c r="G12" s="65" t="s">
        <v>73</v>
      </c>
      <c r="H12" s="65"/>
      <c r="I12" s="2"/>
      <c r="J12" s="2"/>
      <c r="K12" s="57"/>
      <c r="L12" s="57"/>
    </row>
    <row r="13" spans="1:12" ht="5.25" customHeight="1" x14ac:dyDescent="0.15">
      <c r="A13" s="41">
        <f>A12</f>
        <v>1</v>
      </c>
      <c r="C13" s="62"/>
      <c r="E13" s="7"/>
      <c r="G13" s="2"/>
      <c r="H13" s="2"/>
      <c r="I13" s="2"/>
      <c r="J13" s="2"/>
      <c r="K13" s="57"/>
      <c r="L13" s="57"/>
    </row>
    <row r="14" spans="1:12" hidden="1" x14ac:dyDescent="0.15">
      <c r="A14" s="41">
        <f>DataValid!F2</f>
        <v>0</v>
      </c>
      <c r="C14" s="62"/>
      <c r="E14" s="7" t="s">
        <v>50</v>
      </c>
      <c r="G14" s="65"/>
      <c r="H14" s="65"/>
      <c r="I14" s="2"/>
      <c r="J14" s="2"/>
      <c r="K14" s="2"/>
      <c r="L14" s="2"/>
    </row>
    <row r="15" spans="1:12" hidden="1" x14ac:dyDescent="0.15">
      <c r="A15" s="41">
        <f>A14</f>
        <v>0</v>
      </c>
      <c r="C15" s="62"/>
      <c r="E15" s="7"/>
      <c r="G15" s="2"/>
      <c r="H15" s="2"/>
      <c r="I15" s="2"/>
      <c r="J15" s="2"/>
      <c r="K15" s="2"/>
      <c r="L15" s="2"/>
    </row>
    <row r="16" spans="1:12" hidden="1" x14ac:dyDescent="0.15">
      <c r="A16" s="41">
        <f>DataValid!G2</f>
        <v>0</v>
      </c>
      <c r="C16" s="62"/>
      <c r="E16" s="7" t="s">
        <v>51</v>
      </c>
      <c r="G16" s="65"/>
      <c r="H16" s="65"/>
      <c r="I16" s="2"/>
      <c r="J16" s="2"/>
      <c r="K16" s="2"/>
      <c r="L16" s="2"/>
    </row>
    <row r="17" spans="1:12" hidden="1" x14ac:dyDescent="0.15">
      <c r="A17" s="41">
        <f>A16</f>
        <v>0</v>
      </c>
      <c r="C17" s="62"/>
      <c r="E17" s="7"/>
      <c r="G17" s="2"/>
      <c r="H17" s="2"/>
      <c r="I17" s="2"/>
      <c r="J17" s="2"/>
      <c r="K17" s="2"/>
      <c r="L17" s="2"/>
    </row>
    <row r="18" spans="1:12" hidden="1" x14ac:dyDescent="0.15">
      <c r="A18" s="41">
        <f>DataValid!H2</f>
        <v>0</v>
      </c>
      <c r="C18" s="62"/>
      <c r="E18" s="7" t="s">
        <v>51</v>
      </c>
      <c r="G18" s="65"/>
      <c r="H18" s="65"/>
      <c r="I18" s="2"/>
      <c r="J18" s="2"/>
      <c r="K18" s="2"/>
      <c r="L18" s="2"/>
    </row>
    <row r="19" spans="1:12" hidden="1" x14ac:dyDescent="0.15">
      <c r="A19" s="41">
        <f>A18</f>
        <v>0</v>
      </c>
      <c r="C19" s="62"/>
      <c r="E19" s="7"/>
      <c r="G19" s="2"/>
      <c r="H19" s="2"/>
      <c r="I19" s="2"/>
      <c r="J19" s="2"/>
      <c r="K19" s="2"/>
      <c r="L19" s="2"/>
    </row>
    <row r="20" spans="1:12" ht="3.75" customHeight="1" x14ac:dyDescent="0.15">
      <c r="A20" s="41">
        <v>1</v>
      </c>
      <c r="C20" s="62"/>
      <c r="E20" s="11"/>
      <c r="F20" s="12"/>
      <c r="G20" s="12"/>
      <c r="H20" s="12"/>
      <c r="I20" s="12"/>
      <c r="J20" s="12"/>
      <c r="K20" s="19"/>
      <c r="L20" s="19"/>
    </row>
    <row r="21" spans="1:12" ht="3.75" customHeight="1" x14ac:dyDescent="0.15">
      <c r="A21" s="41">
        <v>1</v>
      </c>
      <c r="E21" s="10"/>
      <c r="K21" s="19"/>
      <c r="L21" s="19"/>
    </row>
    <row r="22" spans="1:12" x14ac:dyDescent="0.15">
      <c r="A22" s="41">
        <v>1</v>
      </c>
      <c r="C22" s="64" t="s">
        <v>18</v>
      </c>
      <c r="E22" s="7" t="s">
        <v>10</v>
      </c>
      <c r="G22" s="63" t="str">
        <f>G8&amp;" "&amp;G2&amp;" Candidate @ "&amp;TEXT(G4,"£0.00")&amp;" Per "&amp;IF(G2="Hourly","Hour","Day")&amp;" Pay Rate"</f>
        <v>PAYE Daily Candidate @ £20.00 Per Day Pay Rate</v>
      </c>
      <c r="H22" s="63"/>
      <c r="I22" s="63"/>
      <c r="K22" s="19"/>
      <c r="L22" s="19"/>
    </row>
    <row r="23" spans="1:12" ht="4.5" customHeight="1" x14ac:dyDescent="0.15">
      <c r="A23" s="41">
        <v>1</v>
      </c>
      <c r="C23" s="64"/>
      <c r="E23" s="10"/>
      <c r="K23" s="19"/>
      <c r="L23" s="19"/>
    </row>
    <row r="24" spans="1:12" ht="3.75" customHeight="1" x14ac:dyDescent="0.15">
      <c r="A24" s="41">
        <v>1</v>
      </c>
      <c r="C24" s="64"/>
      <c r="E24" s="11"/>
      <c r="F24" s="12"/>
      <c r="G24" s="12"/>
      <c r="H24" s="12"/>
      <c r="I24" s="12"/>
      <c r="J24" s="12"/>
      <c r="K24" s="19"/>
      <c r="L24" s="19"/>
    </row>
    <row r="25" spans="1:12" ht="4.5" customHeight="1" x14ac:dyDescent="0.15">
      <c r="A25" s="41">
        <v>1</v>
      </c>
      <c r="C25" s="64"/>
      <c r="K25" s="19"/>
      <c r="L25" s="19"/>
    </row>
    <row r="26" spans="1:12" ht="12" customHeight="1" x14ac:dyDescent="0.15">
      <c r="A26" s="41">
        <v>1</v>
      </c>
      <c r="C26" s="64"/>
      <c r="G26" s="63" t="s">
        <v>20</v>
      </c>
      <c r="H26" s="63"/>
      <c r="I26" s="63"/>
      <c r="K26" s="19"/>
      <c r="L26" s="19"/>
    </row>
    <row r="27" spans="1:12" x14ac:dyDescent="0.15">
      <c r="A27" s="41">
        <v>1</v>
      </c>
      <c r="C27" s="64"/>
      <c r="G27" s="14" t="s">
        <v>2</v>
      </c>
      <c r="H27" s="14" t="s">
        <v>23</v>
      </c>
      <c r="I27" s="14" t="s">
        <v>3</v>
      </c>
      <c r="K27" s="19"/>
      <c r="L27" s="19"/>
    </row>
    <row r="28" spans="1:12" ht="3.75" customHeight="1" x14ac:dyDescent="0.15">
      <c r="A28" s="41">
        <v>1</v>
      </c>
      <c r="C28" s="64"/>
      <c r="E28" s="2"/>
      <c r="G28" s="2"/>
      <c r="H28" s="2"/>
      <c r="I28" s="2"/>
      <c r="K28" s="19"/>
      <c r="L28" s="19"/>
    </row>
    <row r="29" spans="1:12" s="31" customFormat="1" ht="15" x14ac:dyDescent="0.2">
      <c r="A29" s="41">
        <v>1</v>
      </c>
      <c r="C29" s="64"/>
      <c r="E29" s="35" t="s">
        <v>0</v>
      </c>
      <c r="G29" s="36" t="str">
        <f t="shared" ref="G29:G35" si="0">IF($G$2="Daily","N/A",I29/$G$6)</f>
        <v>N/A</v>
      </c>
      <c r="H29" s="36">
        <f t="shared" ref="H29:H35" si="1">IF($G$2="Daily",I29/$G$6,"N/A")</f>
        <v>20</v>
      </c>
      <c r="I29" s="36">
        <f>IF($G$8="LTD Co",H79,IF($G$8="Deemed",F79,G79))</f>
        <v>700</v>
      </c>
      <c r="K29" s="58"/>
      <c r="L29" s="58"/>
    </row>
    <row r="30" spans="1:12" x14ac:dyDescent="0.15">
      <c r="A30" s="41">
        <v>1</v>
      </c>
      <c r="C30" s="64"/>
      <c r="E30" s="5" t="s">
        <v>16</v>
      </c>
      <c r="G30" s="4" t="str">
        <f t="shared" si="0"/>
        <v>N/A</v>
      </c>
      <c r="H30" s="4">
        <f t="shared" si="1"/>
        <v>2.4139999999999997</v>
      </c>
      <c r="I30" s="6">
        <f t="shared" ref="I30:I35" si="2">IF($G$8="LTD Co",H80,IF($G$8="Deemed",F80,G80))</f>
        <v>84.49</v>
      </c>
      <c r="K30" s="19"/>
      <c r="L30" s="19"/>
    </row>
    <row r="31" spans="1:12" x14ac:dyDescent="0.15">
      <c r="A31" s="41">
        <v>1</v>
      </c>
      <c r="C31" s="64"/>
      <c r="E31" s="5" t="s">
        <v>15</v>
      </c>
      <c r="G31" s="4" t="str">
        <f t="shared" si="0"/>
        <v>N/A</v>
      </c>
      <c r="H31" s="4">
        <f t="shared" si="1"/>
        <v>0.56028571428571428</v>
      </c>
      <c r="I31" s="6">
        <f t="shared" si="2"/>
        <v>19.61</v>
      </c>
      <c r="K31" s="19"/>
      <c r="L31" s="19"/>
    </row>
    <row r="32" spans="1:12" x14ac:dyDescent="0.15">
      <c r="A32" s="41">
        <v>1</v>
      </c>
      <c r="C32" s="64"/>
      <c r="E32" s="5" t="s">
        <v>45</v>
      </c>
      <c r="G32" s="4" t="str">
        <f t="shared" ref="G32" si="3">IF($G$2="Daily","N/A",I32/$G$6)</f>
        <v>N/A</v>
      </c>
      <c r="H32" s="4">
        <f t="shared" ref="H32" si="4">IF($G$2="Daily",I32/$G$6,"N/A")</f>
        <v>0.112</v>
      </c>
      <c r="I32" s="6">
        <f t="shared" si="2"/>
        <v>3.92</v>
      </c>
      <c r="K32" s="19"/>
      <c r="L32" s="19"/>
    </row>
    <row r="33" spans="1:12" x14ac:dyDescent="0.15">
      <c r="A33" s="41">
        <v>1</v>
      </c>
      <c r="C33" s="64"/>
      <c r="E33" s="5" t="s">
        <v>14</v>
      </c>
      <c r="G33" s="4" t="str">
        <f t="shared" si="0"/>
        <v>N/A</v>
      </c>
      <c r="H33" s="4">
        <f t="shared" si="1"/>
        <v>2.4385714285714286</v>
      </c>
      <c r="I33" s="6">
        <f t="shared" si="2"/>
        <v>85.35</v>
      </c>
      <c r="K33" s="19"/>
      <c r="L33" s="19"/>
    </row>
    <row r="34" spans="1:12" x14ac:dyDescent="0.15">
      <c r="A34" s="41">
        <v>1</v>
      </c>
      <c r="C34" s="64"/>
      <c r="E34" s="5" t="s">
        <v>1</v>
      </c>
      <c r="G34" s="4" t="str">
        <f t="shared" si="0"/>
        <v>N/A</v>
      </c>
      <c r="H34" s="4">
        <f t="shared" si="1"/>
        <v>11.499999999999996</v>
      </c>
      <c r="I34" s="6">
        <f t="shared" si="2"/>
        <v>402.49999999999989</v>
      </c>
      <c r="K34" s="19"/>
      <c r="L34" s="19"/>
    </row>
    <row r="35" spans="1:12" s="31" customFormat="1" ht="15" x14ac:dyDescent="0.2">
      <c r="A35" s="41">
        <v>1</v>
      </c>
      <c r="C35" s="64"/>
      <c r="E35" s="32" t="s">
        <v>13</v>
      </c>
      <c r="G35" s="33" t="str">
        <f t="shared" si="0"/>
        <v>N/A</v>
      </c>
      <c r="H35" s="33">
        <f t="shared" si="1"/>
        <v>37.024857142857137</v>
      </c>
      <c r="I35" s="34">
        <f t="shared" si="2"/>
        <v>1295.8699999999999</v>
      </c>
      <c r="K35" s="58"/>
      <c r="L35" s="58"/>
    </row>
    <row r="36" spans="1:12" s="31" customFormat="1" ht="15" hidden="1" x14ac:dyDescent="0.2">
      <c r="A36" s="41"/>
      <c r="C36" s="64"/>
      <c r="E36" s="32"/>
      <c r="G36" s="33"/>
      <c r="H36" s="33"/>
      <c r="I36" s="42"/>
    </row>
    <row r="37" spans="1:12" s="31" customFormat="1" ht="15" hidden="1" x14ac:dyDescent="0.2">
      <c r="A37" s="41"/>
      <c r="C37" s="64"/>
      <c r="E37" s="32"/>
      <c r="G37" s="33"/>
      <c r="H37" s="33"/>
      <c r="I37" s="42"/>
    </row>
    <row r="38" spans="1:12" s="31" customFormat="1" ht="20.25" hidden="1" customHeight="1" x14ac:dyDescent="0.2">
      <c r="A38" s="41">
        <v>1</v>
      </c>
      <c r="C38" s="64"/>
      <c r="E38" s="32" t="s">
        <v>52</v>
      </c>
      <c r="G38" s="37"/>
      <c r="K38" s="58"/>
      <c r="L38" s="58"/>
    </row>
    <row r="39" spans="1:12" ht="3.75" customHeight="1" x14ac:dyDescent="0.15">
      <c r="A39" s="41">
        <v>1</v>
      </c>
      <c r="C39" s="64"/>
      <c r="E39" s="7"/>
      <c r="G39" s="2"/>
      <c r="H39" s="2"/>
      <c r="K39" s="19"/>
      <c r="L39" s="19"/>
    </row>
    <row r="40" spans="1:12" ht="3.75" customHeight="1" x14ac:dyDescent="0.15">
      <c r="A40" s="41">
        <v>1</v>
      </c>
      <c r="C40" s="64"/>
      <c r="E40" s="12"/>
      <c r="F40" s="12"/>
      <c r="G40" s="12"/>
      <c r="H40" s="12"/>
      <c r="I40" s="12"/>
      <c r="J40" s="12"/>
      <c r="K40" s="19"/>
      <c r="L40" s="19"/>
    </row>
    <row r="41" spans="1:12" ht="3.75" customHeight="1" x14ac:dyDescent="0.15">
      <c r="A41" s="41">
        <v>1</v>
      </c>
      <c r="E41" s="10"/>
      <c r="G41" s="41" t="str">
        <f>IF(G8="LTD co","LTD PAYE",IF(G8="PAYE","PAYE LTD","Deemed LTD"))</f>
        <v>PAYE LTD</v>
      </c>
      <c r="H41" s="41" t="str">
        <f>IF(G8="LTD Co","LTD Deemed",IF(G8="PAYE","PAYE Deemed","Deemed PAYE"))</f>
        <v>PAYE Deemed</v>
      </c>
      <c r="K41" s="19"/>
      <c r="L41" s="19"/>
    </row>
    <row r="42" spans="1:12" x14ac:dyDescent="0.15">
      <c r="A42" s="41">
        <v>1</v>
      </c>
      <c r="C42" s="64" t="s">
        <v>62</v>
      </c>
      <c r="E42" s="22" t="s">
        <v>57</v>
      </c>
      <c r="K42" s="19"/>
      <c r="L42" s="19"/>
    </row>
    <row r="43" spans="1:12" x14ac:dyDescent="0.15">
      <c r="A43" s="41">
        <v>1</v>
      </c>
      <c r="C43" s="64"/>
      <c r="G43" s="53" t="str">
        <f>IF(G8="LTD co","PAYE",IF(G8="PAYE","LTD Co","LTD Co"))</f>
        <v>LTD Co</v>
      </c>
      <c r="H43" s="53" t="str">
        <f>IF(G8="LTD Co","Deemed",IF(G8="PAYE","Deemed","PAYE"))</f>
        <v>Deemed</v>
      </c>
      <c r="I43" s="54"/>
      <c r="J43" s="13"/>
      <c r="K43" s="56"/>
      <c r="L43" s="56"/>
    </row>
    <row r="44" spans="1:12" ht="3.75" customHeight="1" x14ac:dyDescent="0.15">
      <c r="A44" s="41">
        <v>1</v>
      </c>
      <c r="C44" s="64"/>
      <c r="E44" s="2"/>
      <c r="G44" s="2"/>
      <c r="H44" s="2"/>
      <c r="I44" s="55"/>
      <c r="J44" s="13"/>
      <c r="K44" s="56"/>
      <c r="L44" s="56"/>
    </row>
    <row r="45" spans="1:12" x14ac:dyDescent="0.15">
      <c r="A45" s="41">
        <v>1</v>
      </c>
      <c r="C45" s="64"/>
      <c r="E45" s="46" t="s">
        <v>0</v>
      </c>
      <c r="F45" s="47"/>
      <c r="G45" s="48">
        <f>HLOOKUP(G$41,$77:$86,3,0)/$G$6</f>
        <v>24.85257142857143</v>
      </c>
      <c r="H45" s="48">
        <f>HLOOKUP(H$41,$77:$86,3,0)/$G$6</f>
        <v>22.414000000000001</v>
      </c>
      <c r="I45" s="69" t="str">
        <f>IF(OR(G45&lt;-10000,G45&gt;10000,H45&lt;-10000,H45&gt;10000),"Error Calculation - Goal Seek Fail - Please add £0.001 to the pay rate to get Equivalent","")</f>
        <v/>
      </c>
      <c r="J45" s="70"/>
      <c r="K45" s="56"/>
      <c r="L45" s="56"/>
    </row>
    <row r="46" spans="1:12" x14ac:dyDescent="0.15">
      <c r="A46" s="41">
        <v>1</v>
      </c>
      <c r="C46" s="64"/>
      <c r="E46" s="49" t="s">
        <v>16</v>
      </c>
      <c r="F46" s="50"/>
      <c r="G46" s="51">
        <f>HLOOKUP(G$41,$77:$86,4,0)/$G$6</f>
        <v>0</v>
      </c>
      <c r="H46" s="51">
        <f>HLOOKUP(H$41,$77:$86,4,0)/$G$6</f>
        <v>0</v>
      </c>
      <c r="I46" s="69"/>
      <c r="J46" s="70"/>
      <c r="K46" s="56"/>
      <c r="L46" s="56"/>
    </row>
    <row r="47" spans="1:12" x14ac:dyDescent="0.15">
      <c r="A47" s="41">
        <v>1</v>
      </c>
      <c r="C47" s="64"/>
      <c r="E47" s="49" t="s">
        <v>15</v>
      </c>
      <c r="F47" s="50"/>
      <c r="G47" s="51">
        <f>HLOOKUP(G$41,$77:$86,5,0)/$G$6</f>
        <v>0</v>
      </c>
      <c r="H47" s="51">
        <f>HLOOKUP(H$41,$77:$86,5,0)/$G$6</f>
        <v>0</v>
      </c>
      <c r="I47" s="69"/>
      <c r="J47" s="70"/>
      <c r="K47" s="56"/>
      <c r="L47" s="56"/>
    </row>
    <row r="48" spans="1:12" x14ac:dyDescent="0.15">
      <c r="A48" s="41">
        <v>1</v>
      </c>
      <c r="C48" s="64"/>
      <c r="E48" s="49" t="s">
        <v>45</v>
      </c>
      <c r="F48" s="50"/>
      <c r="G48" s="51">
        <f>HLOOKUP(G$41,$77:$86,6,0)/$G$6</f>
        <v>0</v>
      </c>
      <c r="H48" s="51">
        <f>HLOOKUP(H$41,$77:$86,6,0)/$G$6</f>
        <v>0.112</v>
      </c>
      <c r="I48" s="69"/>
      <c r="J48" s="70"/>
      <c r="K48" s="56"/>
      <c r="L48" s="56"/>
    </row>
    <row r="49" spans="1:12" x14ac:dyDescent="0.15">
      <c r="A49" s="41">
        <v>1</v>
      </c>
      <c r="C49" s="64"/>
      <c r="E49" s="49" t="s">
        <v>14</v>
      </c>
      <c r="F49" s="50"/>
      <c r="G49" s="51">
        <f>HLOOKUP(G$41,$77:$86,7,0)/$G$6</f>
        <v>0</v>
      </c>
      <c r="H49" s="51">
        <f>HLOOKUP(H$41,$77:$86,7,0)/$G$6</f>
        <v>2.4385714285714286</v>
      </c>
      <c r="I49" s="69"/>
      <c r="J49" s="70"/>
      <c r="K49" s="56"/>
      <c r="L49" s="56"/>
    </row>
    <row r="50" spans="1:12" x14ac:dyDescent="0.15">
      <c r="A50" s="41">
        <v>1</v>
      </c>
      <c r="C50" s="64"/>
      <c r="E50" s="49" t="s">
        <v>1</v>
      </c>
      <c r="F50" s="50"/>
      <c r="G50" s="51">
        <f>HLOOKUP(G$41,$77:$86,8,0)/$G$6</f>
        <v>11.499999999999996</v>
      </c>
      <c r="H50" s="51">
        <f>HLOOKUP(H$41,$77:$86,8,0)/$G$6</f>
        <v>11.5</v>
      </c>
      <c r="I50" s="69"/>
      <c r="J50" s="70"/>
      <c r="K50" s="56"/>
      <c r="L50" s="56"/>
    </row>
    <row r="51" spans="1:12" x14ac:dyDescent="0.15">
      <c r="A51" s="41">
        <v>1</v>
      </c>
      <c r="C51" s="64"/>
      <c r="E51" s="52" t="s">
        <v>13</v>
      </c>
      <c r="F51" s="47"/>
      <c r="G51" s="48">
        <f>HLOOKUP(G$41,$77:$86,9,0)/$G$6</f>
        <v>36.352571428571423</v>
      </c>
      <c r="H51" s="48">
        <f>HLOOKUP(H$41,$77:$86,9,0)/$G$6</f>
        <v>36.464571428571425</v>
      </c>
      <c r="I51" s="69"/>
      <c r="J51" s="70"/>
      <c r="K51" s="56"/>
      <c r="L51" s="56"/>
    </row>
    <row r="52" spans="1:12" ht="4.5" customHeight="1" x14ac:dyDescent="0.15">
      <c r="A52" s="41">
        <v>1</v>
      </c>
      <c r="C52" s="64"/>
      <c r="E52" s="10"/>
      <c r="J52" s="40"/>
      <c r="K52" s="59"/>
      <c r="L52" s="59"/>
    </row>
    <row r="53" spans="1:12" ht="4.5" customHeight="1" x14ac:dyDescent="0.15">
      <c r="A53" s="41">
        <v>1</v>
      </c>
      <c r="C53" s="64"/>
      <c r="E53" s="10"/>
    </row>
    <row r="54" spans="1:12" ht="3.75" customHeight="1" x14ac:dyDescent="0.15">
      <c r="A54" s="41">
        <v>1</v>
      </c>
      <c r="C54" s="64"/>
      <c r="E54" s="11"/>
      <c r="F54" s="12"/>
      <c r="G54" s="12"/>
      <c r="H54" s="12"/>
      <c r="I54" s="12"/>
      <c r="J54" s="12"/>
      <c r="K54" s="19"/>
      <c r="L54" s="19"/>
    </row>
    <row r="55" spans="1:12" ht="4.5" customHeight="1" x14ac:dyDescent="0.15">
      <c r="A55" s="41">
        <v>1</v>
      </c>
      <c r="K55" s="19"/>
      <c r="L55" s="19"/>
    </row>
    <row r="56" spans="1:12" x14ac:dyDescent="0.15">
      <c r="A56" s="41">
        <v>1</v>
      </c>
      <c r="C56" s="64" t="s">
        <v>37</v>
      </c>
      <c r="E56" s="8" t="s">
        <v>17</v>
      </c>
      <c r="K56" s="19"/>
      <c r="L56" s="19"/>
    </row>
    <row r="57" spans="1:12" x14ac:dyDescent="0.15">
      <c r="A57" s="41">
        <v>1</v>
      </c>
      <c r="C57" s="64"/>
      <c r="E57" s="9" t="s">
        <v>38</v>
      </c>
      <c r="K57" s="19"/>
      <c r="L57" s="19"/>
    </row>
    <row r="58" spans="1:12" ht="2.25" customHeight="1" x14ac:dyDescent="0.15">
      <c r="A58" s="41">
        <v>1</v>
      </c>
      <c r="C58" s="64"/>
      <c r="K58" s="19"/>
      <c r="L58" s="19"/>
    </row>
    <row r="59" spans="1:12" x14ac:dyDescent="0.15">
      <c r="A59" s="41">
        <v>1</v>
      </c>
      <c r="C59" s="64"/>
      <c r="E59" s="8" t="s">
        <v>19</v>
      </c>
      <c r="K59" s="19"/>
      <c r="L59" s="19"/>
    </row>
    <row r="60" spans="1:12" x14ac:dyDescent="0.15">
      <c r="A60" s="41">
        <v>1</v>
      </c>
      <c r="C60" s="64"/>
      <c r="E60" s="22" t="s">
        <v>21</v>
      </c>
    </row>
    <row r="61" spans="1:12" s="19" customFormat="1" ht="2" customHeight="1" x14ac:dyDescent="0.15">
      <c r="A61" s="41">
        <v>1</v>
      </c>
      <c r="C61" s="64"/>
      <c r="E61" s="20"/>
      <c r="F61" s="21"/>
      <c r="G61" s="21"/>
      <c r="H61" s="21"/>
      <c r="I61" s="18"/>
      <c r="J61" s="21"/>
      <c r="K61" s="21"/>
      <c r="L61" s="21"/>
    </row>
    <row r="62" spans="1:12" x14ac:dyDescent="0.15">
      <c r="A62" s="41">
        <v>1</v>
      </c>
      <c r="C62" s="64"/>
      <c r="E62" s="16" t="s">
        <v>25</v>
      </c>
      <c r="F62" s="10" t="s">
        <v>27</v>
      </c>
      <c r="G62" s="17">
        <v>0.1207</v>
      </c>
      <c r="H62" s="18" t="s">
        <v>29</v>
      </c>
      <c r="I62" s="18" t="s">
        <v>39</v>
      </c>
      <c r="J62" s="10"/>
      <c r="K62" s="10"/>
      <c r="L62" s="10"/>
    </row>
    <row r="63" spans="1:12" s="19" customFormat="1" ht="2" customHeight="1" x14ac:dyDescent="0.15">
      <c r="A63" s="41">
        <v>1</v>
      </c>
      <c r="C63" s="64"/>
      <c r="E63" s="20"/>
      <c r="F63" s="21"/>
      <c r="G63" s="21"/>
      <c r="H63" s="21"/>
      <c r="I63" s="18"/>
      <c r="J63" s="21"/>
      <c r="K63" s="21"/>
      <c r="L63" s="21"/>
    </row>
    <row r="64" spans="1:12" x14ac:dyDescent="0.15">
      <c r="A64" s="41">
        <v>1</v>
      </c>
      <c r="C64" s="64"/>
      <c r="E64" s="16" t="s">
        <v>30</v>
      </c>
      <c r="F64" s="10" t="s">
        <v>27</v>
      </c>
      <c r="G64" s="17">
        <v>2.5000000000000001E-2</v>
      </c>
      <c r="H64" s="18" t="s">
        <v>29</v>
      </c>
      <c r="I64" s="18" t="s">
        <v>40</v>
      </c>
    </row>
    <row r="65" spans="1:20" s="19" customFormat="1" ht="2" customHeight="1" x14ac:dyDescent="0.15">
      <c r="A65" s="41">
        <v>1</v>
      </c>
      <c r="C65" s="64"/>
      <c r="E65" s="20"/>
      <c r="F65" s="21"/>
      <c r="G65" s="21"/>
      <c r="H65" s="21"/>
      <c r="J65" s="21"/>
      <c r="K65" s="21"/>
      <c r="L65" s="21"/>
    </row>
    <row r="66" spans="1:20" x14ac:dyDescent="0.15">
      <c r="A66" s="41">
        <v>1</v>
      </c>
      <c r="C66" s="64"/>
      <c r="E66" s="16" t="s">
        <v>45</v>
      </c>
      <c r="F66" s="10" t="s">
        <v>27</v>
      </c>
      <c r="G66" s="17">
        <v>5.0000000000000001E-3</v>
      </c>
      <c r="H66" s="18" t="s">
        <v>29</v>
      </c>
      <c r="I66" s="18" t="s">
        <v>40</v>
      </c>
    </row>
    <row r="67" spans="1:20" s="19" customFormat="1" ht="2" customHeight="1" x14ac:dyDescent="0.15">
      <c r="A67" s="41">
        <v>1</v>
      </c>
      <c r="C67" s="64"/>
      <c r="E67" s="20"/>
      <c r="F67" s="21"/>
      <c r="G67" s="21"/>
      <c r="H67" s="21"/>
      <c r="J67" s="21"/>
      <c r="K67" s="21"/>
      <c r="L67" s="21"/>
    </row>
    <row r="68" spans="1:20" x14ac:dyDescent="0.15">
      <c r="A68" s="41">
        <v>1</v>
      </c>
      <c r="C68" s="64"/>
      <c r="E68" s="16" t="s">
        <v>28</v>
      </c>
      <c r="F68" s="10" t="s">
        <v>27</v>
      </c>
      <c r="G68" s="17">
        <v>0.13800000000000001</v>
      </c>
      <c r="H68" s="26" t="s">
        <v>76</v>
      </c>
      <c r="I68" s="18" t="s">
        <v>40</v>
      </c>
    </row>
    <row r="69" spans="1:20" s="19" customFormat="1" ht="2" customHeight="1" x14ac:dyDescent="0.15">
      <c r="A69" s="41">
        <v>1</v>
      </c>
      <c r="C69" s="64"/>
      <c r="E69" s="20"/>
      <c r="F69" s="21"/>
      <c r="G69" s="21"/>
      <c r="H69" s="21"/>
      <c r="J69" s="21"/>
      <c r="K69" s="21"/>
      <c r="L69" s="21"/>
    </row>
    <row r="70" spans="1:20" x14ac:dyDescent="0.15">
      <c r="A70" s="41">
        <v>1</v>
      </c>
      <c r="C70" s="64"/>
      <c r="E70" s="23" t="s">
        <v>41</v>
      </c>
      <c r="F70" s="24" t="s">
        <v>27</v>
      </c>
      <c r="G70" s="25">
        <v>166</v>
      </c>
      <c r="H70" s="21"/>
      <c r="I70" s="18"/>
    </row>
    <row r="71" spans="1:20" s="19" customFormat="1" ht="2" customHeight="1" x14ac:dyDescent="0.15">
      <c r="A71" s="41">
        <v>1</v>
      </c>
      <c r="C71" s="64"/>
      <c r="E71" s="20"/>
      <c r="F71" s="21"/>
      <c r="G71" s="21"/>
      <c r="H71" s="21"/>
      <c r="J71" s="21"/>
      <c r="K71" s="21"/>
      <c r="L71" s="21"/>
    </row>
    <row r="72" spans="1:20" hidden="1" x14ac:dyDescent="0.15">
      <c r="A72" s="41">
        <v>1</v>
      </c>
      <c r="C72" s="64"/>
      <c r="E72" s="16" t="s">
        <v>31</v>
      </c>
      <c r="F72" s="10" t="s">
        <v>27</v>
      </c>
      <c r="G72" s="17">
        <v>0.2</v>
      </c>
      <c r="I72" s="18" t="str">
        <f>IF(H74="Markup On Pay","On Pay","On Pay + WTD + NI")</f>
        <v>On Pay + WTD + NI</v>
      </c>
    </row>
    <row r="73" spans="1:20" s="19" customFormat="1" ht="2" customHeight="1" x14ac:dyDescent="0.15">
      <c r="A73" s="41">
        <v>1</v>
      </c>
      <c r="C73" s="64"/>
      <c r="E73" s="20"/>
      <c r="F73" s="21"/>
      <c r="G73" s="21"/>
      <c r="H73" s="21"/>
      <c r="I73" s="18"/>
      <c r="J73" s="21"/>
      <c r="K73" s="21"/>
      <c r="L73" s="21"/>
    </row>
    <row r="74" spans="1:20" x14ac:dyDescent="0.15">
      <c r="A74" s="41">
        <v>1</v>
      </c>
      <c r="C74" s="27"/>
      <c r="E74" s="16" t="s">
        <v>72</v>
      </c>
      <c r="F74" s="10" t="s">
        <v>27</v>
      </c>
      <c r="G74" s="60">
        <f>Rules!B5</f>
        <v>1.1499999999999999</v>
      </c>
      <c r="H74" s="60" t="s">
        <v>44</v>
      </c>
      <c r="I74" s="18" t="s">
        <v>43</v>
      </c>
    </row>
    <row r="75" spans="1:20" s="19" customFormat="1" hidden="1" x14ac:dyDescent="0.15">
      <c r="A75" s="41">
        <v>0</v>
      </c>
      <c r="C75" s="27"/>
      <c r="E75" s="20"/>
      <c r="F75" s="21"/>
      <c r="G75" s="21"/>
      <c r="H75" s="21"/>
      <c r="I75" s="18"/>
      <c r="J75" s="21"/>
      <c r="K75" s="21"/>
      <c r="L75" s="21"/>
    </row>
    <row r="76" spans="1:20" hidden="1" x14ac:dyDescent="0.15">
      <c r="A76" s="41">
        <v>0</v>
      </c>
      <c r="E76" s="13"/>
      <c r="I76" s="67" t="s">
        <v>46</v>
      </c>
      <c r="J76" s="67"/>
      <c r="K76" s="67" t="s">
        <v>59</v>
      </c>
      <c r="L76" s="67"/>
      <c r="M76" s="68" t="s">
        <v>58</v>
      </c>
      <c r="N76" s="68"/>
      <c r="O76" s="68" t="s">
        <v>60</v>
      </c>
      <c r="P76" s="68"/>
      <c r="Q76" s="61" t="s">
        <v>63</v>
      </c>
      <c r="R76" s="61"/>
      <c r="S76" s="61" t="s">
        <v>64</v>
      </c>
      <c r="T76" s="61"/>
    </row>
    <row r="77" spans="1:20" ht="156" hidden="1" x14ac:dyDescent="0.15">
      <c r="A77" s="41">
        <v>0</v>
      </c>
      <c r="E77" s="14" t="s">
        <v>26</v>
      </c>
      <c r="F77" s="14" t="s">
        <v>61</v>
      </c>
      <c r="G77" s="14" t="s">
        <v>5</v>
      </c>
      <c r="H77" s="14" t="s">
        <v>32</v>
      </c>
      <c r="I77" s="28" t="s">
        <v>65</v>
      </c>
      <c r="J77" s="28" t="s">
        <v>47</v>
      </c>
      <c r="K77" s="28" t="s">
        <v>66</v>
      </c>
      <c r="L77" s="28" t="s">
        <v>47</v>
      </c>
      <c r="M77" s="28" t="s">
        <v>67</v>
      </c>
      <c r="N77" s="28" t="s">
        <v>47</v>
      </c>
      <c r="O77" s="28" t="s">
        <v>68</v>
      </c>
      <c r="P77" s="28" t="s">
        <v>47</v>
      </c>
      <c r="Q77" s="28" t="s">
        <v>69</v>
      </c>
      <c r="R77" s="28" t="s">
        <v>47</v>
      </c>
      <c r="S77" s="28" t="s">
        <v>70</v>
      </c>
      <c r="T77" s="28" t="s">
        <v>47</v>
      </c>
    </row>
    <row r="78" spans="1:20" hidden="1" x14ac:dyDescent="0.15">
      <c r="A78" s="41">
        <v>0</v>
      </c>
      <c r="E78" s="5" t="s">
        <v>0</v>
      </c>
      <c r="F78" s="4">
        <f>$G$4</f>
        <v>20</v>
      </c>
      <c r="G78" s="4">
        <f>$G$4</f>
        <v>20</v>
      </c>
      <c r="H78" s="4">
        <f>G4</f>
        <v>20</v>
      </c>
      <c r="I78" s="44">
        <v>16.194908781626239</v>
      </c>
      <c r="J78" s="39">
        <f>ROUND((I85-I81-I82)/$G$6,2)</f>
        <v>31.5</v>
      </c>
      <c r="K78" s="44">
        <v>18.150498409183683</v>
      </c>
      <c r="L78" s="39">
        <f>ROUND((K85-K81-K82)/$G$6,2)</f>
        <v>31.5</v>
      </c>
      <c r="M78" s="44">
        <v>24.852635237035479</v>
      </c>
      <c r="N78" s="39">
        <f>ROUND(M85+$G$81+$G$82,2)</f>
        <v>1295.8699999999999</v>
      </c>
      <c r="O78" s="44">
        <v>22.414079540602465</v>
      </c>
      <c r="P78" s="39">
        <f>ROUND(O85+$G$81,2)</f>
        <v>1295.8699999999999</v>
      </c>
      <c r="Q78" s="44">
        <v>22.105515250005091</v>
      </c>
      <c r="R78" s="39">
        <f>ROUND(Q85+$F$81+$F$82,2)</f>
        <v>1179.69</v>
      </c>
      <c r="S78" s="44">
        <v>17.84613069815644</v>
      </c>
      <c r="T78" s="39">
        <f>S85-S81</f>
        <v>1179.69</v>
      </c>
    </row>
    <row r="79" spans="1:20" hidden="1" x14ac:dyDescent="0.15">
      <c r="A79" s="41">
        <v>0</v>
      </c>
      <c r="E79" s="5" t="s">
        <v>6</v>
      </c>
      <c r="F79" s="4">
        <f>ROUND(F78*$G$6,2)</f>
        <v>700</v>
      </c>
      <c r="G79" s="4">
        <f>ROUND(G78*$G$6,2)</f>
        <v>700</v>
      </c>
      <c r="H79" s="4">
        <f>ROUND(H78*G6,2)</f>
        <v>700</v>
      </c>
      <c r="I79" s="29">
        <f>ROUND(I78*$G$6,2)</f>
        <v>566.82000000000005</v>
      </c>
      <c r="J79" s="39">
        <f>J78-$H$86</f>
        <v>0</v>
      </c>
      <c r="K79" s="29">
        <f>ROUND(K78*$G$6,2)</f>
        <v>635.27</v>
      </c>
      <c r="L79" s="39">
        <f>L78-$H$86</f>
        <v>0</v>
      </c>
      <c r="M79" s="29">
        <f>ROUND(M78*$G$6,2)</f>
        <v>869.84</v>
      </c>
      <c r="N79" s="39">
        <f>N78-$G$85</f>
        <v>0</v>
      </c>
      <c r="O79" s="29">
        <f>ROUND(O78*$G$6,2)</f>
        <v>784.49</v>
      </c>
      <c r="P79" s="39">
        <f>P78-$G$85</f>
        <v>0</v>
      </c>
      <c r="Q79" s="29">
        <f>ROUND(Q78*$G$6,2)</f>
        <v>773.69</v>
      </c>
      <c r="R79" s="39">
        <f>R78-$F$85</f>
        <v>0</v>
      </c>
      <c r="S79" s="29">
        <f>ROUND(S78*$G$6,2)</f>
        <v>624.61</v>
      </c>
      <c r="T79" s="39">
        <f>T78-$F$85</f>
        <v>0</v>
      </c>
    </row>
    <row r="80" spans="1:20" hidden="1" x14ac:dyDescent="0.15">
      <c r="A80" s="41">
        <v>0</v>
      </c>
      <c r="E80" s="5" t="s">
        <v>16</v>
      </c>
      <c r="F80" s="4">
        <v>0</v>
      </c>
      <c r="G80" s="4">
        <f>ROUND(G79*$G$62,2)</f>
        <v>84.49</v>
      </c>
      <c r="H80" s="4">
        <v>0</v>
      </c>
      <c r="I80" s="29">
        <f>ROUND(I79*$G$62,2)</f>
        <v>68.42</v>
      </c>
      <c r="J80" s="30">
        <f>IF(J79&gt;0.019,1,IF(J79&lt;-0.019,1,0))</f>
        <v>0</v>
      </c>
      <c r="K80" s="29">
        <v>0</v>
      </c>
      <c r="L80" s="30">
        <f>IF(L79&gt;0.019,1,IF(L79&lt;-0.019,1,0))</f>
        <v>0</v>
      </c>
      <c r="M80" s="29">
        <v>0</v>
      </c>
      <c r="N80" s="30">
        <f>IF(N79&gt;0.019,1,IF(N79&lt;-0.019,1,0))</f>
        <v>0</v>
      </c>
      <c r="O80" s="29">
        <v>0</v>
      </c>
      <c r="P80" s="30">
        <f>IF(P79&gt;0.019,1,IF(P79&lt;-0.019,1,0))</f>
        <v>0</v>
      </c>
      <c r="Q80" s="29">
        <v>0</v>
      </c>
      <c r="R80" s="30">
        <f>IF(R79&gt;0.019,1,IF(R79&lt;-0.019,1,0))</f>
        <v>0</v>
      </c>
      <c r="S80" s="29">
        <f>ROUND(S79*$G$62,2)</f>
        <v>75.39</v>
      </c>
      <c r="T80" s="30">
        <f>IF(T79&gt;0.019,1,IF(T79&lt;-0.019,1,0))</f>
        <v>0</v>
      </c>
    </row>
    <row r="81" spans="1:20" hidden="1" x14ac:dyDescent="0.15">
      <c r="A81" s="41">
        <v>0</v>
      </c>
      <c r="E81" s="5" t="s">
        <v>7</v>
      </c>
      <c r="F81" s="4">
        <v>0</v>
      </c>
      <c r="G81" s="4">
        <f>ROUND((G79+G80)*$G$64,2)</f>
        <v>19.61</v>
      </c>
      <c r="H81" s="4">
        <v>0</v>
      </c>
      <c r="I81" s="29">
        <f>ROUND((I79+I80)*$G$64,2)</f>
        <v>15.88</v>
      </c>
      <c r="J81" s="30"/>
      <c r="K81" s="29">
        <v>0</v>
      </c>
      <c r="L81" s="30"/>
      <c r="M81" s="29">
        <v>0</v>
      </c>
      <c r="N81" s="30"/>
      <c r="O81" s="29">
        <v>0</v>
      </c>
      <c r="P81" s="30"/>
      <c r="Q81" s="29">
        <v>0</v>
      </c>
      <c r="R81" s="30"/>
      <c r="S81" s="29">
        <f>ROUND((S79+S80)*$G$64,2)</f>
        <v>17.5</v>
      </c>
      <c r="T81" s="30"/>
    </row>
    <row r="82" spans="1:20" hidden="1" x14ac:dyDescent="0.15">
      <c r="A82" s="41">
        <v>0</v>
      </c>
      <c r="E82" s="5" t="s">
        <v>45</v>
      </c>
      <c r="F82" s="4">
        <f>ROUND((F79+F80)*$G$66,2)</f>
        <v>3.5</v>
      </c>
      <c r="G82" s="4">
        <f>ROUND((G79+G80)*$G$66,2)</f>
        <v>3.92</v>
      </c>
      <c r="H82" s="4">
        <v>0</v>
      </c>
      <c r="I82" s="29">
        <f>ROUND((I79+I80)*$G$66,2)</f>
        <v>3.18</v>
      </c>
      <c r="J82" s="30"/>
      <c r="K82" s="29">
        <f>ROUND((K79+K80)*$G$66,2)</f>
        <v>3.18</v>
      </c>
      <c r="L82" s="30"/>
      <c r="M82" s="29">
        <v>0</v>
      </c>
      <c r="N82" s="30"/>
      <c r="O82" s="29">
        <f>ROUND((O79+O80)*$G$66,2)</f>
        <v>3.92</v>
      </c>
      <c r="P82" s="30"/>
      <c r="Q82" s="29">
        <v>0</v>
      </c>
      <c r="R82" s="30"/>
      <c r="S82" s="29">
        <f>ROUND((S79+S80)*$G$66,2)</f>
        <v>3.5</v>
      </c>
      <c r="T82" s="30"/>
    </row>
    <row r="83" spans="1:20" hidden="1" x14ac:dyDescent="0.15">
      <c r="A83" s="41">
        <v>0</v>
      </c>
      <c r="E83" s="5" t="s">
        <v>8</v>
      </c>
      <c r="F83" s="4">
        <f>ROUND(IF($H$68="Actual",IF((F79+F80)&gt;$G$70,((F79+F80)-$G$70)*$G$68,0),(F79+F80)*$G$68),2)</f>
        <v>73.69</v>
      </c>
      <c r="G83" s="4">
        <f>ROUND(IF($H$68="Actual",IF((G79+G80)&gt;$G$70,((G79+G80)-$G$70)*$G$68,0),(G79+G80)*$G$68),2)</f>
        <v>85.35</v>
      </c>
      <c r="H83" s="4">
        <v>0</v>
      </c>
      <c r="I83" s="29">
        <f>ROUND(IF($H$68="Actual",IF((I79+I80)&gt;$G$70,((I79+I80)-$G$70)*$G$68,0),(I79+I80)*$G$68),2)</f>
        <v>64.760000000000005</v>
      </c>
      <c r="J83" s="30"/>
      <c r="K83" s="29">
        <f>ROUND(IF($H$68="Actual",IF((K79+K80)&gt;$G$70,((K79+K80)-$G$70)*$G$68,0),(K79+K80)*$G$68),2)</f>
        <v>64.760000000000005</v>
      </c>
      <c r="M83" s="29">
        <v>0</v>
      </c>
      <c r="O83" s="29">
        <f>ROUND(IF($H$68="Actual",IF((O79+O80)&gt;$G$70,((O79+O80)-$G$70)*$G$68,0),(O79+O80)*$G$68),2)</f>
        <v>85.35</v>
      </c>
      <c r="Q83" s="29">
        <v>0</v>
      </c>
      <c r="S83" s="29">
        <f>ROUND(IF($H$68="Actual",IF((S79+S80)&gt;$G$70,((S79+S80)-$G$70)*$G$68,0),(S79+S80)*$G$68),2)</f>
        <v>73.69</v>
      </c>
    </row>
    <row r="84" spans="1:20" hidden="1" x14ac:dyDescent="0.15">
      <c r="A84" s="41">
        <v>0</v>
      </c>
      <c r="E84" s="5" t="s">
        <v>1</v>
      </c>
      <c r="F84" s="4">
        <f>F85-SUM(F79:F83)</f>
        <v>402.5</v>
      </c>
      <c r="G84" s="4">
        <f>G85-SUM(G79:G83)</f>
        <v>402.49999999999989</v>
      </c>
      <c r="H84" s="4">
        <f>H85-SUM(H79:H83)</f>
        <v>402.5</v>
      </c>
      <c r="I84" s="29">
        <f>I85-SUM(I79:I83)</f>
        <v>402.5</v>
      </c>
      <c r="K84" s="29">
        <f>K85-SUM(K79:K83)</f>
        <v>402.50000000000011</v>
      </c>
      <c r="M84" s="29">
        <f>M85-SUM(M79:M83)</f>
        <v>402.49999999999989</v>
      </c>
      <c r="O84" s="29">
        <f>O85-SUM(O79:O83)</f>
        <v>402.5</v>
      </c>
      <c r="Q84" s="29">
        <f>Q85-SUM(Q79:Q83)</f>
        <v>402.5</v>
      </c>
      <c r="S84" s="29">
        <f>S85-SUM(S79:S83)</f>
        <v>402.5</v>
      </c>
    </row>
    <row r="85" spans="1:20" hidden="1" x14ac:dyDescent="0.15">
      <c r="A85" s="41">
        <v>0</v>
      </c>
      <c r="E85" s="5" t="s">
        <v>9</v>
      </c>
      <c r="F85" s="4">
        <f>ROUND(IF($H$74="Margin",F91,IF($H$74="Markup",F90,IF($H$74="Multiplier",F93,IF($H$74="Fixed Pence",F92,F89)))),2)</f>
        <v>1179.69</v>
      </c>
      <c r="G85" s="4">
        <f>ROUND(IF($H$74="Margin",G91,IF($H$74="Markup",G90,IF($H$74="Multiplier",G93,IF($H$74="Fixed Pence",G92,G89)))),2)</f>
        <v>1295.8699999999999</v>
      </c>
      <c r="H85" s="4">
        <f>ROUND(IF($H$74="Margin",H91,IF($H$74="Markup",H90,IF($H$74="Multiplier",H93,IF($H$74="Fixed Pence",H92,H89)))),2)</f>
        <v>1102.5</v>
      </c>
      <c r="I85" s="4">
        <f>ROUND(IF($H$74="Margin",I91,IF($H$74="Markup",I90,IF($H$74="Multiplier",I93,IF($H$74="Fixed Pence",I92,I89)))),2)</f>
        <v>1121.56</v>
      </c>
      <c r="K85" s="4">
        <f>ROUND(IF($H$74="Margin",K91,IF($H$74="Markup",K90,IF($H$74="Multiplier",K93,IF($H$74="Fixed Pence",K92,K89)))),2)</f>
        <v>1105.71</v>
      </c>
      <c r="M85" s="4">
        <f>ROUND(IF($H$74="Margin",M91,IF($H$74="Markup",M90,IF($H$74="Multiplier",M93,IF($H$74="Fixed Pence",M92,M89)))),2)</f>
        <v>1272.3399999999999</v>
      </c>
      <c r="O85" s="4">
        <f>ROUND(IF($H$74="Margin",O91,IF($H$74="Markup",O90,IF($H$74="Multiplier",O93,IF($H$74="Fixed Pence",O92,O89)))),2)</f>
        <v>1276.26</v>
      </c>
      <c r="Q85" s="4">
        <f>ROUND(IF($H$74="Margin",Q91,IF($H$74="Markup",Q90,IF($H$74="Multiplier",Q93,IF($H$74="Fixed Pence",Q92,Q89)))),2)</f>
        <v>1176.19</v>
      </c>
      <c r="S85" s="4">
        <f>ROUND(IF($H$74="Margin",S91,IF($H$74="Markup",S90,IF($H$74="Multiplier",S93,IF($H$74="Fixed Pence",S92,S89)))),2)</f>
        <v>1197.19</v>
      </c>
    </row>
    <row r="86" spans="1:20" hidden="1" x14ac:dyDescent="0.15">
      <c r="A86" s="41">
        <v>0</v>
      </c>
      <c r="E86" s="5" t="s">
        <v>11</v>
      </c>
      <c r="F86" s="4">
        <f>ROUND(F85/$G$6,2)</f>
        <v>33.71</v>
      </c>
      <c r="G86" s="4">
        <f>ROUND(G85/$G$6,2)</f>
        <v>37.020000000000003</v>
      </c>
      <c r="H86" s="4">
        <f>ROUND(H85/G6,2)</f>
        <v>31.5</v>
      </c>
      <c r="I86" s="29">
        <f>ROUND(I85/$G$6,2)</f>
        <v>32.04</v>
      </c>
      <c r="J86" s="45"/>
      <c r="K86" s="29">
        <f>ROUND(K85/$G$6,2)</f>
        <v>31.59</v>
      </c>
      <c r="M86" s="29">
        <f>ROUND(M85/$G$6,2)</f>
        <v>36.35</v>
      </c>
      <c r="O86" s="29">
        <f>ROUND(O85/$G$6,2)</f>
        <v>36.46</v>
      </c>
      <c r="Q86" s="29">
        <f>ROUND(Q85/$G$6,2)</f>
        <v>33.61</v>
      </c>
      <c r="S86" s="29">
        <f>ROUND(S85/$G$6,2)</f>
        <v>34.21</v>
      </c>
    </row>
    <row r="87" spans="1:20" hidden="1" x14ac:dyDescent="0.15">
      <c r="A87" s="41">
        <v>0</v>
      </c>
    </row>
    <row r="88" spans="1:20" ht="72" hidden="1" x14ac:dyDescent="0.15">
      <c r="A88" s="41">
        <v>0</v>
      </c>
      <c r="E88" s="14" t="s">
        <v>42</v>
      </c>
      <c r="F88" s="14" t="s">
        <v>61</v>
      </c>
      <c r="G88" s="14" t="s">
        <v>5</v>
      </c>
      <c r="H88" s="14" t="s">
        <v>32</v>
      </c>
      <c r="I88" s="28"/>
      <c r="K88" s="28"/>
      <c r="M88" s="28"/>
      <c r="O88" s="28"/>
      <c r="Q88" s="28"/>
      <c r="S88" s="28"/>
    </row>
    <row r="89" spans="1:20" hidden="1" x14ac:dyDescent="0.15">
      <c r="A89" s="41">
        <v>0</v>
      </c>
      <c r="E89" s="3" t="s">
        <v>35</v>
      </c>
      <c r="F89" s="4">
        <f>SUM(F79:F83)+F79*$G$72</f>
        <v>917.19</v>
      </c>
      <c r="G89" s="4">
        <f>SUM(G79:G83)+G79*$G$72</f>
        <v>1033.3699999999999</v>
      </c>
      <c r="H89" s="4">
        <f>SUM(H79:H83)+H79*G72</f>
        <v>840</v>
      </c>
      <c r="I89" s="29">
        <f>SUM(I79:I83)+I79*$G$72</f>
        <v>832.42399999999998</v>
      </c>
      <c r="K89" s="29">
        <f>SUM(K79:K83)+K79*$G$72</f>
        <v>830.2639999999999</v>
      </c>
      <c r="M89" s="29">
        <f>SUM(M79:M83)+M79*$G$72</f>
        <v>1043.808</v>
      </c>
      <c r="O89" s="29">
        <f>SUM(O79:O83)+O79*$G$72</f>
        <v>1030.6579999999999</v>
      </c>
      <c r="Q89" s="29">
        <f>SUM(Q79:Q83)+Q79*$G$72</f>
        <v>928.42800000000011</v>
      </c>
      <c r="S89" s="29">
        <f>SUM(S79:S83)+S79*$G$72</f>
        <v>919.61200000000008</v>
      </c>
    </row>
    <row r="90" spans="1:20" hidden="1" x14ac:dyDescent="0.15">
      <c r="A90" s="41">
        <v>0</v>
      </c>
      <c r="E90" s="5" t="s">
        <v>36</v>
      </c>
      <c r="F90" s="4">
        <f>SUM(F79:F83)+((F79+F80+F83)*$G$72)</f>
        <v>931.92800000000011</v>
      </c>
      <c r="G90" s="4">
        <f>SUM(G79:G83)+((G79+G80+G83)*$G$72)</f>
        <v>1067.338</v>
      </c>
      <c r="H90" s="4">
        <f>SUM(H79:H83)+(H79+H80+H83)*G72</f>
        <v>840</v>
      </c>
      <c r="I90" s="29">
        <f>SUM(I79:I83)+(I79+I80+I83)*$G$72</f>
        <v>859.06</v>
      </c>
      <c r="K90" s="29">
        <f>SUM(K79:K83)+(K79+K80+K83)*$G$72</f>
        <v>843.21599999999989</v>
      </c>
      <c r="M90" s="29">
        <f>SUM(M79:M83)+(M79+M80+M83)*$G$72</f>
        <v>1043.808</v>
      </c>
      <c r="O90" s="29">
        <f>SUM(O79:O83)+(O79+O80+O83)*$G$72</f>
        <v>1047.7280000000001</v>
      </c>
      <c r="Q90" s="29">
        <f>SUM(Q79:Q83)+(Q79+Q80+Q83)*$G$72</f>
        <v>928.42800000000011</v>
      </c>
      <c r="S90" s="29">
        <f>SUM(S79:S83)+(S79+S80+S83)*$G$72</f>
        <v>949.42800000000011</v>
      </c>
    </row>
    <row r="91" spans="1:20" hidden="1" x14ac:dyDescent="0.15">
      <c r="A91" s="41">
        <v>0</v>
      </c>
      <c r="E91" s="5" t="s">
        <v>34</v>
      </c>
      <c r="F91" s="4">
        <f>((F79+F80+F83)/(1-$G$72))+(F81+F82)</f>
        <v>970.61250000000007</v>
      </c>
      <c r="G91" s="4">
        <f>((G79+G80+G83)/(1-$G$72))+(G81+G82)</f>
        <v>1110.83</v>
      </c>
      <c r="H91" s="4">
        <f>((H79+H80+H83)/(1-G72))+H81</f>
        <v>875</v>
      </c>
      <c r="I91" s="29">
        <f>((I79+I80+I83)/(1-$G$72))+(I81+I82)</f>
        <v>894.06</v>
      </c>
      <c r="K91" s="29">
        <f>((K79+K80+K83)/(1-$G$72))+(K81+K82)</f>
        <v>878.21749999999986</v>
      </c>
      <c r="M91" s="29">
        <f>((M79+M80+M83)/(1-$G$72))+(M81+M82)</f>
        <v>1087.3</v>
      </c>
      <c r="O91" s="29">
        <f>((O79+O80+O83)/(1-$G$72))+(O81+O82)</f>
        <v>1091.22</v>
      </c>
      <c r="Q91" s="29">
        <f>((Q79+Q80+Q83)/(1-$G$72))+(Q81+Q82)</f>
        <v>967.11250000000007</v>
      </c>
      <c r="S91" s="29">
        <f>((S79+S80+S83)/(1-$G$72))+(S81+S82)</f>
        <v>988.11250000000007</v>
      </c>
    </row>
    <row r="92" spans="1:20" hidden="1" x14ac:dyDescent="0.15">
      <c r="A92" s="41">
        <v>0</v>
      </c>
      <c r="E92" s="5" t="s">
        <v>44</v>
      </c>
      <c r="F92" s="4">
        <f>IF($G$2="Daily",SUM(F79:F83)+(($G$6*10)*$G$74),SUM(F79:F83)+($G$6*$G$74))</f>
        <v>1179.69</v>
      </c>
      <c r="G92" s="4">
        <f>IF($G$2="Daily",SUM(G79:G83)+(($G$6*10)*$G$74),SUM(G79:G83)+($G$6*$G$74))</f>
        <v>1295.8699999999999</v>
      </c>
      <c r="H92" s="4">
        <f>IF(G2="Daily",SUM(H79:H83)+((G6*10)*G74),SUM(H79:H83)+(G6*G74))</f>
        <v>1102.5</v>
      </c>
      <c r="I92" s="29">
        <f>IF($G$2="Daily",SUM(I79:I83)+(($G$6*10)*$G$74),SUM(I79:I83)+($G$6*$G$74))</f>
        <v>1121.56</v>
      </c>
      <c r="K92" s="29">
        <f>IF($G$2="Daily",SUM(K79:K83)+(($G$6*10)*$G$74),SUM(K79:K83)+($G$6*$G$74))</f>
        <v>1105.7099999999998</v>
      </c>
      <c r="M92" s="29">
        <f>IF($G$2="Daily",SUM(M79:M83)+(($G$6*10)*$G$74),SUM(M79:M83)+($G$6*$G$74))</f>
        <v>1272.3399999999999</v>
      </c>
      <c r="O92" s="29">
        <f>IF($G$2="Daily",SUM(O79:O83)+(($G$6*10)*$G$74),SUM(O79:O83)+($G$6*$G$74))</f>
        <v>1276.26</v>
      </c>
      <c r="Q92" s="29">
        <f>IF($G$2="Daily",SUM(Q79:Q83)+(($G$6*10)*$G$74),SUM(Q79:Q83)+($G$6*$G$74))</f>
        <v>1176.19</v>
      </c>
      <c r="S92" s="29">
        <f>IF($G$2="Daily",SUM(S79:S83)+(($G$6*10)*$G$74),SUM(S79:S83)+($G$6*$G$74))</f>
        <v>1197.19</v>
      </c>
    </row>
    <row r="93" spans="1:20" hidden="1" x14ac:dyDescent="0.15">
      <c r="A93" s="41">
        <v>0</v>
      </c>
      <c r="E93" s="5" t="s">
        <v>71</v>
      </c>
      <c r="F93" s="4">
        <f>F79*$G$74</f>
        <v>804.99999999999989</v>
      </c>
      <c r="G93" s="4">
        <f>G79*$G$74</f>
        <v>804.99999999999989</v>
      </c>
      <c r="H93" s="4">
        <f>H79*$G$74</f>
        <v>804.99999999999989</v>
      </c>
      <c r="I93" s="4">
        <f>I79*$G$74</f>
        <v>651.84299999999996</v>
      </c>
      <c r="K93" s="4">
        <f>K79*$G$74</f>
        <v>730.56049999999993</v>
      </c>
      <c r="M93" s="4">
        <f>M79*$G$74</f>
        <v>1000.3159999999999</v>
      </c>
      <c r="O93" s="4">
        <f>O79*$G$74</f>
        <v>902.16349999999989</v>
      </c>
      <c r="Q93" s="4">
        <f>Q79*$G$74</f>
        <v>889.74350000000004</v>
      </c>
      <c r="S93" s="4">
        <f>S79*$G$74</f>
        <v>718.30149999999992</v>
      </c>
    </row>
    <row r="94" spans="1:20" hidden="1" x14ac:dyDescent="0.15">
      <c r="A94" s="41">
        <v>0</v>
      </c>
    </row>
  </sheetData>
  <sheetProtection password="CF50" sheet="1" objects="1" scenarios="1" selectLockedCells="1" autoFilter="0"/>
  <autoFilter ref="A1:A94">
    <filterColumn colId="0">
      <filters>
        <filter val="1"/>
      </filters>
    </filterColumn>
  </autoFilter>
  <mergeCells count="22">
    <mergeCell ref="I76:J76"/>
    <mergeCell ref="K76:L76"/>
    <mergeCell ref="M76:N76"/>
    <mergeCell ref="O76:P76"/>
    <mergeCell ref="G2:H2"/>
    <mergeCell ref="I45:J51"/>
    <mergeCell ref="Q76:R76"/>
    <mergeCell ref="S76:T76"/>
    <mergeCell ref="C2:C20"/>
    <mergeCell ref="G26:I26"/>
    <mergeCell ref="C56:C73"/>
    <mergeCell ref="G6:H6"/>
    <mergeCell ref="G8:H8"/>
    <mergeCell ref="C22:C40"/>
    <mergeCell ref="G4:H4"/>
    <mergeCell ref="G18:H18"/>
    <mergeCell ref="G22:I22"/>
    <mergeCell ref="C42:C54"/>
    <mergeCell ref="G10:H10"/>
    <mergeCell ref="G16:H16"/>
    <mergeCell ref="G14:H14"/>
    <mergeCell ref="G12:H12"/>
  </mergeCells>
  <phoneticPr fontId="0" type="noConversion"/>
  <conditionalFormatting sqref="J52:L52">
    <cfRule type="cellIs" dxfId="5" priority="17" operator="equal">
      <formula>""</formula>
    </cfRule>
  </conditionalFormatting>
  <conditionalFormatting sqref="G45:G50">
    <cfRule type="expression" dxfId="4" priority="7">
      <formula>$I$43=1</formula>
    </cfRule>
  </conditionalFormatting>
  <conditionalFormatting sqref="G51">
    <cfRule type="expression" dxfId="3" priority="6">
      <formula>$I$43=1</formula>
    </cfRule>
  </conditionalFormatting>
  <conditionalFormatting sqref="H45:H50">
    <cfRule type="expression" dxfId="2" priority="3">
      <formula>$I$43=1</formula>
    </cfRule>
  </conditionalFormatting>
  <conditionalFormatting sqref="H51">
    <cfRule type="expression" dxfId="1" priority="2">
      <formula>$I$43=1</formula>
    </cfRule>
  </conditionalFormatting>
  <conditionalFormatting sqref="I45">
    <cfRule type="expression" dxfId="0" priority="1">
      <formula>$I$43=1</formula>
    </cfRule>
  </conditionalFormatting>
  <dataValidations count="6">
    <dataValidation type="list" allowBlank="1" showInputMessage="1" showErrorMessage="1" sqref="H68">
      <formula1>"Fixed, Actual"</formula1>
    </dataValidation>
    <dataValidation type="list" allowBlank="1" showInputMessage="1" showErrorMessage="1" sqref="H74">
      <formula1>"Margin, Markup, Markup on Pay, Multiplier, Fixed Pence"</formula1>
    </dataValidation>
    <dataValidation type="list" allowBlank="1" showInputMessage="1" showErrorMessage="1" sqref="G8:H8">
      <formula1>"LTD Co, PAYE, Deemed"</formula1>
    </dataValidation>
    <dataValidation type="list" allowBlank="1" showInputMessage="1" showErrorMessage="1" sqref="G2:H2">
      <formula1>"Hourly, Daily"</formula1>
    </dataValidation>
    <dataValidation type="whole" allowBlank="1" showInputMessage="1" showErrorMessage="1" sqref="G18:H18 G10:H10 G16:H16 G14:H14">
      <formula1>0</formula1>
      <formula2>500</formula2>
    </dataValidation>
    <dataValidation type="list" allowBlank="1" showInputMessage="1" showErrorMessage="1" sqref="G12:H12">
      <formula1>jobcats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2:H7"/>
  <sheetViews>
    <sheetView workbookViewId="0">
      <selection activeCell="E3" sqref="E3"/>
    </sheetView>
  </sheetViews>
  <sheetFormatPr baseColWidth="10" defaultColWidth="8.75" defaultRowHeight="11" x14ac:dyDescent="0.15"/>
  <cols>
    <col min="2" max="2" width="15.75" bestFit="1" customWidth="1"/>
    <col min="3" max="3" width="12" bestFit="1" customWidth="1"/>
    <col min="4" max="4" width="13.75" customWidth="1"/>
    <col min="5" max="8" width="15.75" customWidth="1"/>
  </cols>
  <sheetData>
    <row r="2" spans="1:8" x14ac:dyDescent="0.15">
      <c r="A2" t="s">
        <v>53</v>
      </c>
      <c r="B2">
        <v>1</v>
      </c>
      <c r="C2">
        <v>1</v>
      </c>
      <c r="E2">
        <v>1</v>
      </c>
    </row>
    <row r="3" spans="1:8" x14ac:dyDescent="0.15">
      <c r="B3" t="s">
        <v>22</v>
      </c>
      <c r="C3" t="s">
        <v>4</v>
      </c>
      <c r="D3" t="s">
        <v>48</v>
      </c>
      <c r="E3" t="s">
        <v>49</v>
      </c>
      <c r="F3" t="s">
        <v>50</v>
      </c>
      <c r="G3" t="s">
        <v>51</v>
      </c>
      <c r="H3" t="s">
        <v>51</v>
      </c>
    </row>
    <row r="4" spans="1:8" x14ac:dyDescent="0.15">
      <c r="B4" s="38" t="s">
        <v>2</v>
      </c>
      <c r="C4" s="38" t="s">
        <v>54</v>
      </c>
      <c r="D4" s="38" t="s">
        <v>55</v>
      </c>
      <c r="E4" s="38" t="s">
        <v>73</v>
      </c>
    </row>
    <row r="5" spans="1:8" x14ac:dyDescent="0.15">
      <c r="B5" s="38" t="s">
        <v>23</v>
      </c>
      <c r="C5" s="38" t="s">
        <v>5</v>
      </c>
      <c r="D5" s="38" t="s">
        <v>56</v>
      </c>
      <c r="E5" s="38" t="s">
        <v>74</v>
      </c>
    </row>
    <row r="6" spans="1:8" x14ac:dyDescent="0.15">
      <c r="E6" s="38"/>
    </row>
    <row r="7" spans="1:8" x14ac:dyDescent="0.15">
      <c r="E7" s="3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3:E6"/>
  <sheetViews>
    <sheetView showGridLines="0" workbookViewId="0">
      <selection activeCell="B5" sqref="B5"/>
    </sheetView>
  </sheetViews>
  <sheetFormatPr baseColWidth="10" defaultColWidth="8.75" defaultRowHeight="11" x14ac:dyDescent="0.15"/>
  <cols>
    <col min="1" max="16384" width="8.75" style="43"/>
  </cols>
  <sheetData>
    <row r="3" spans="1:5" x14ac:dyDescent="0.15">
      <c r="B3" s="43">
        <f>Calc!G4</f>
        <v>20</v>
      </c>
    </row>
    <row r="4" spans="1:5" x14ac:dyDescent="0.15">
      <c r="B4" s="43" t="str">
        <f>Calc!G12</f>
        <v>Lot 1</v>
      </c>
    </row>
    <row r="5" spans="1:5" x14ac:dyDescent="0.15">
      <c r="A5" s="43" t="s">
        <v>75</v>
      </c>
      <c r="B5" s="43">
        <f>HLOOKUP(B4,D5:E6,2,0)</f>
        <v>1.1499999999999999</v>
      </c>
      <c r="D5" s="43" t="s">
        <v>73</v>
      </c>
      <c r="E5" s="43" t="s">
        <v>74</v>
      </c>
    </row>
    <row r="6" spans="1:5" x14ac:dyDescent="0.15">
      <c r="D6" s="43">
        <f>IF(B3&lt;25.01,1.15,IF(B3&lt;55.01,1.3,1.3))</f>
        <v>1.1499999999999999</v>
      </c>
      <c r="E6" s="43">
        <f>IF(B3&lt;25.01,3.1,IF(B3&lt;55.01,3.25,3.5))</f>
        <v>3.1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Calc</vt:lpstr>
      <vt:lpstr>DataValid</vt:lpstr>
      <vt:lpstr>Rules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White</dc:creator>
  <cp:lastModifiedBy>Microsoft Office User</cp:lastModifiedBy>
  <dcterms:created xsi:type="dcterms:W3CDTF">2014-11-25T17:28:14Z</dcterms:created>
  <dcterms:modified xsi:type="dcterms:W3CDTF">2019-09-30T13:46:34Z</dcterms:modified>
</cp:coreProperties>
</file>