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Management, Financial and Systems accounts\Costing and TRAC\Course Costing Model\"/>
    </mc:Choice>
  </mc:AlternateContent>
  <bookViews>
    <workbookView xWindow="-15" yWindow="-15" windowWidth="20520" windowHeight="3990" tabRatio="871" activeTab="4"/>
  </bookViews>
  <sheets>
    <sheet name="1. Summary Data" sheetId="11" r:id="rId1"/>
    <sheet name="4.1 FA - Basic Info" sheetId="1" r:id="rId2"/>
    <sheet name="4.2 FA - Students &amp; Income" sheetId="15" r:id="rId3"/>
    <sheet name="4.3 FA - Staff &amp; Direct Costs" sheetId="3" r:id="rId4"/>
    <sheet name="4.4 Summary I&amp;E (full cost)" sheetId="4" r:id="rId5"/>
    <sheet name="Overhead data" sheetId="9" r:id="rId6"/>
  </sheets>
  <externalReferences>
    <externalReference r:id="rId7"/>
  </externalReferences>
  <definedNames>
    <definedName name="AV">'4.3 FA - Staff &amp; Direct Costs'!$F$70:$J$71</definedName>
    <definedName name="Development">'4.3 FA - Staff &amp; Direct Costs'!#REF!</definedName>
    <definedName name="Equipment">'4.3 FA - Staff &amp; Direct Costs'!$I$67:$M$68</definedName>
    <definedName name="Field">'4.3 FA - Staff &amp; Direct Costs'!$I$64:$M$65</definedName>
    <definedName name="Library">'4.3 FA - Staff &amp; Direct Costs'!#REF!</definedName>
    <definedName name="Materials">'4.3 FA - Staff &amp; Direct Costs'!$I$61:$M$62</definedName>
    <definedName name="Other">'4.3 FA - Staff &amp; Direct Costs'!$I$73:$M$76</definedName>
    <definedName name="_xlnm.Print_Area" localSheetId="0">'1. Summary Data'!$A$1:$D$76</definedName>
    <definedName name="_xlnm.Print_Area" localSheetId="1">'4.1 FA - Basic Info'!$A$1:$D$34</definedName>
    <definedName name="_xlnm.Print_Area" localSheetId="2">'4.2 FA - Students &amp; Income'!$A$1:$J$124</definedName>
    <definedName name="_xlnm.Print_Area" localSheetId="3">'4.3 FA - Staff &amp; Direct Costs'!$A$1:$L$96</definedName>
    <definedName name="_xlnm.Print_Area" localSheetId="4">'4.4 Summary I&amp;E (full cost)'!$A$1:$I$67</definedName>
    <definedName name="_xlnm.Print_Titles" localSheetId="2">'4.2 FA - Students &amp; Income'!$1:$5</definedName>
  </definedNames>
  <calcPr calcId="162913"/>
</workbook>
</file>

<file path=xl/calcChain.xml><?xml version="1.0" encoding="utf-8"?>
<calcChain xmlns="http://schemas.openxmlformats.org/spreadsheetml/2006/main">
  <c r="G5" i="3" l="1"/>
  <c r="H5" i="3"/>
  <c r="I5" i="3"/>
  <c r="J5" i="3"/>
  <c r="C3" i="3"/>
  <c r="D9" i="4"/>
  <c r="E9" i="4"/>
  <c r="F9" i="4"/>
  <c r="G9" i="4"/>
  <c r="H9" i="4"/>
  <c r="C9" i="4"/>
  <c r="H5" i="15"/>
  <c r="G5" i="15"/>
  <c r="F5" i="15"/>
  <c r="E5" i="15"/>
  <c r="D5" i="15"/>
  <c r="H26" i="15" l="1"/>
  <c r="G26" i="15"/>
  <c r="H27" i="15" s="1"/>
  <c r="F26" i="15"/>
  <c r="G27" i="15" s="1"/>
  <c r="E26" i="15"/>
  <c r="F27" i="15" s="1"/>
  <c r="C34" i="9" l="1"/>
  <c r="D34" i="9" s="1"/>
  <c r="E34" i="9" s="1"/>
  <c r="C33" i="9"/>
  <c r="C35" i="9" l="1"/>
  <c r="E33" i="9"/>
  <c r="F32" i="3"/>
  <c r="G32" i="3"/>
  <c r="H32" i="3"/>
  <c r="I32" i="3"/>
  <c r="J32" i="3"/>
  <c r="E32" i="3"/>
  <c r="I29" i="3"/>
  <c r="G26" i="3"/>
  <c r="E26" i="3"/>
  <c r="I23" i="3"/>
  <c r="F15" i="3"/>
  <c r="F29" i="3" s="1"/>
  <c r="G15" i="3"/>
  <c r="G29" i="3" s="1"/>
  <c r="H15" i="3"/>
  <c r="H29" i="3" s="1"/>
  <c r="I15" i="3"/>
  <c r="J15" i="3"/>
  <c r="J29" i="3" s="1"/>
  <c r="E15" i="3"/>
  <c r="E29" i="3" s="1"/>
  <c r="F12" i="3"/>
  <c r="F26" i="3" s="1"/>
  <c r="G12" i="3"/>
  <c r="H12" i="3"/>
  <c r="H26" i="3" s="1"/>
  <c r="I12" i="3"/>
  <c r="I26" i="3" s="1"/>
  <c r="J12" i="3"/>
  <c r="J26" i="3" s="1"/>
  <c r="E12" i="3"/>
  <c r="F9" i="3"/>
  <c r="F23" i="3" s="1"/>
  <c r="G9" i="3"/>
  <c r="G23" i="3" s="1"/>
  <c r="H9" i="3"/>
  <c r="H23" i="3" s="1"/>
  <c r="I9" i="3"/>
  <c r="J9" i="3"/>
  <c r="J23" i="3" s="1"/>
  <c r="E9" i="3"/>
  <c r="E23" i="3" s="1"/>
  <c r="C16" i="9"/>
  <c r="D16" i="9" s="1"/>
  <c r="E16" i="9" s="1"/>
  <c r="F16" i="9" s="1"/>
  <c r="B9" i="9"/>
  <c r="B8" i="9"/>
  <c r="B7" i="9"/>
  <c r="B6" i="9"/>
  <c r="B5" i="9"/>
  <c r="B4" i="9"/>
  <c r="F36" i="3" l="1"/>
  <c r="G36" i="3"/>
  <c r="H36" i="3"/>
  <c r="I36" i="3"/>
  <c r="J36" i="3"/>
  <c r="E36" i="3"/>
  <c r="E35" i="3"/>
  <c r="C32" i="1" l="1"/>
  <c r="C30" i="1"/>
  <c r="D33" i="9" l="1"/>
  <c r="J24" i="9" l="1"/>
  <c r="J25" i="9" s="1"/>
  <c r="J26" i="9" s="1"/>
  <c r="F24" i="9"/>
  <c r="F25" i="9" s="1"/>
  <c r="F26" i="9" s="1"/>
  <c r="I25" i="9"/>
  <c r="I26" i="9"/>
  <c r="I24" i="9"/>
  <c r="H14" i="15"/>
  <c r="G14" i="15"/>
  <c r="H15" i="15" s="1"/>
  <c r="F14" i="15"/>
  <c r="G15" i="15" s="1"/>
  <c r="H16" i="15" s="1"/>
  <c r="E14" i="15"/>
  <c r="F15" i="15" s="1"/>
  <c r="G16" i="15" s="1"/>
  <c r="H17" i="15" s="1"/>
  <c r="F9" i="15"/>
  <c r="G10" i="15" s="1"/>
  <c r="G9" i="15"/>
  <c r="H10" i="15" s="1"/>
  <c r="H9" i="15"/>
  <c r="E9" i="15"/>
  <c r="F10" i="15" s="1"/>
  <c r="I107" i="15"/>
  <c r="D52" i="15"/>
  <c r="E44" i="15"/>
  <c r="F44" i="15" s="1"/>
  <c r="G44" i="15" s="1"/>
  <c r="H44" i="15" s="1"/>
  <c r="C8" i="4" l="1"/>
  <c r="C7" i="4"/>
  <c r="C124" i="15"/>
  <c r="B27" i="1"/>
  <c r="H108" i="15" s="1"/>
  <c r="B37" i="9"/>
  <c r="D37" i="9"/>
  <c r="D17" i="9"/>
  <c r="E17" i="9" s="1"/>
  <c r="F17" i="9" s="1"/>
  <c r="C15" i="9"/>
  <c r="D15" i="9" s="1"/>
  <c r="F88" i="3"/>
  <c r="E88" i="3"/>
  <c r="C17" i="4" s="1"/>
  <c r="E56" i="3"/>
  <c r="C16" i="4" s="1"/>
  <c r="E38" i="3"/>
  <c r="F38" i="3"/>
  <c r="D13" i="4" s="1"/>
  <c r="E39" i="3"/>
  <c r="F39" i="3"/>
  <c r="E40" i="3"/>
  <c r="F40" i="3"/>
  <c r="F93" i="3" s="1"/>
  <c r="E41" i="3"/>
  <c r="F41" i="3"/>
  <c r="F94" i="3" s="1"/>
  <c r="F35" i="3"/>
  <c r="E49" i="3"/>
  <c r="C15" i="4" s="1"/>
  <c r="F49" i="3"/>
  <c r="D15" i="4" s="1"/>
  <c r="J56" i="3"/>
  <c r="I56" i="3"/>
  <c r="H56" i="3"/>
  <c r="G56" i="3"/>
  <c r="F56" i="3"/>
  <c r="D16" i="4" s="1"/>
  <c r="J49" i="3"/>
  <c r="I49" i="3"/>
  <c r="H49" i="3"/>
  <c r="G49" i="3"/>
  <c r="J41" i="3"/>
  <c r="I41" i="3"/>
  <c r="H41" i="3"/>
  <c r="G41" i="3"/>
  <c r="J40" i="3"/>
  <c r="I40" i="3"/>
  <c r="H40" i="3"/>
  <c r="G40" i="3"/>
  <c r="J39" i="3"/>
  <c r="J94" i="3" s="1"/>
  <c r="I39" i="3"/>
  <c r="H39" i="3"/>
  <c r="G39" i="3"/>
  <c r="J38" i="3"/>
  <c r="I38" i="3"/>
  <c r="H38" i="3"/>
  <c r="H93" i="3" s="1"/>
  <c r="G38" i="3"/>
  <c r="J35" i="3"/>
  <c r="I35" i="3"/>
  <c r="H35" i="3"/>
  <c r="G35" i="3"/>
  <c r="D114" i="15"/>
  <c r="D115" i="15" s="1"/>
  <c r="E101" i="15"/>
  <c r="F101" i="15"/>
  <c r="G101" i="15"/>
  <c r="H101" i="15"/>
  <c r="E102" i="15"/>
  <c r="F102" i="15"/>
  <c r="G102" i="15"/>
  <c r="H102" i="15"/>
  <c r="D102" i="15"/>
  <c r="D101" i="15"/>
  <c r="E96" i="15"/>
  <c r="F96" i="15"/>
  <c r="G96" i="15"/>
  <c r="H96" i="15"/>
  <c r="D96" i="15"/>
  <c r="E95" i="15"/>
  <c r="F95" i="15"/>
  <c r="G95" i="15"/>
  <c r="H95" i="15"/>
  <c r="D95" i="15"/>
  <c r="G88" i="15"/>
  <c r="F5" i="3"/>
  <c r="H36" i="15"/>
  <c r="H100" i="15" s="1"/>
  <c r="G36" i="15"/>
  <c r="G100" i="15" s="1"/>
  <c r="F36" i="15"/>
  <c r="F100" i="15" s="1"/>
  <c r="E36" i="15"/>
  <c r="D36" i="15"/>
  <c r="D100" i="15" s="1"/>
  <c r="H28" i="15"/>
  <c r="H99" i="15" s="1"/>
  <c r="G28" i="15"/>
  <c r="G99" i="15" s="1"/>
  <c r="F28" i="15"/>
  <c r="E28" i="15"/>
  <c r="D28" i="15"/>
  <c r="D99" i="15" s="1"/>
  <c r="H19" i="15"/>
  <c r="H94" i="15" s="1"/>
  <c r="G19" i="15"/>
  <c r="G94" i="15" s="1"/>
  <c r="F19" i="15"/>
  <c r="F94" i="15" s="1"/>
  <c r="E19" i="15"/>
  <c r="E94" i="15" s="1"/>
  <c r="D19" i="15"/>
  <c r="D94" i="15" s="1"/>
  <c r="H11" i="15"/>
  <c r="H93" i="15" s="1"/>
  <c r="G11" i="15"/>
  <c r="F11" i="15"/>
  <c r="F93" i="15" s="1"/>
  <c r="E11" i="15"/>
  <c r="D11" i="15"/>
  <c r="D93" i="15" s="1"/>
  <c r="C4" i="1"/>
  <c r="C7" i="1"/>
  <c r="D3" i="15" s="1"/>
  <c r="H1" i="4"/>
  <c r="H88" i="3"/>
  <c r="I88" i="3"/>
  <c r="J88" i="3"/>
  <c r="G88" i="3"/>
  <c r="J42" i="3" l="1"/>
  <c r="J90" i="3" s="1"/>
  <c r="E13" i="4"/>
  <c r="E14" i="4"/>
  <c r="D39" i="15"/>
  <c r="E15" i="4"/>
  <c r="G94" i="3"/>
  <c r="E39" i="15"/>
  <c r="H39" i="15"/>
  <c r="D22" i="15"/>
  <c r="E93" i="3"/>
  <c r="C13" i="4"/>
  <c r="E99" i="15"/>
  <c r="E37" i="9"/>
  <c r="D25" i="4" s="1"/>
  <c r="D35" i="9"/>
  <c r="H94" i="3"/>
  <c r="H95" i="3" s="1"/>
  <c r="H41" i="4"/>
  <c r="E94" i="3"/>
  <c r="D41" i="4"/>
  <c r="F14" i="4"/>
  <c r="H14" i="4"/>
  <c r="E42" i="3"/>
  <c r="E90" i="3" s="1"/>
  <c r="E17" i="4"/>
  <c r="D14" i="4"/>
  <c r="D62" i="4" s="1"/>
  <c r="H22" i="15"/>
  <c r="C14" i="4"/>
  <c r="F13" i="4"/>
  <c r="F15" i="4"/>
  <c r="D103" i="15"/>
  <c r="G93" i="3"/>
  <c r="E41" i="4"/>
  <c r="E16" i="4"/>
  <c r="F39" i="15"/>
  <c r="G39" i="15"/>
  <c r="F16" i="4"/>
  <c r="D108" i="15"/>
  <c r="E108" i="15"/>
  <c r="G108" i="15"/>
  <c r="F108" i="15"/>
  <c r="F17" i="4"/>
  <c r="I93" i="3"/>
  <c r="J93" i="3"/>
  <c r="J95" i="3" s="1"/>
  <c r="I42" i="3"/>
  <c r="I90" i="3" s="1"/>
  <c r="G41" i="4"/>
  <c r="G22" i="15"/>
  <c r="G93" i="15"/>
  <c r="G97" i="15" s="1"/>
  <c r="H42" i="3"/>
  <c r="H90" i="3" s="1"/>
  <c r="F22" i="15"/>
  <c r="E100" i="15"/>
  <c r="C24" i="4"/>
  <c r="F95" i="3"/>
  <c r="G42" i="3"/>
  <c r="G90" i="3" s="1"/>
  <c r="D97" i="15"/>
  <c r="E22" i="15"/>
  <c r="F97" i="15"/>
  <c r="F41" i="4"/>
  <c r="E93" i="15"/>
  <c r="E97" i="15" s="1"/>
  <c r="D3" i="4"/>
  <c r="D17" i="4"/>
  <c r="E15" i="9"/>
  <c r="G15" i="4" s="1"/>
  <c r="F99" i="15"/>
  <c r="F103" i="15" s="1"/>
  <c r="I94" i="3"/>
  <c r="F42" i="3"/>
  <c r="F90" i="3" s="1"/>
  <c r="H103" i="15"/>
  <c r="H97" i="15"/>
  <c r="C10" i="4"/>
  <c r="D5" i="4"/>
  <c r="G103" i="15"/>
  <c r="D23" i="4" l="1"/>
  <c r="E62" i="4"/>
  <c r="C62" i="4"/>
  <c r="C63" i="4" s="1"/>
  <c r="E95" i="3"/>
  <c r="G95" i="3"/>
  <c r="D40" i="15"/>
  <c r="F62" i="4"/>
  <c r="H40" i="15"/>
  <c r="G40" i="15"/>
  <c r="E40" i="15"/>
  <c r="C25" i="4"/>
  <c r="C26" i="4" s="1"/>
  <c r="D104" i="15"/>
  <c r="D118" i="15" s="1"/>
  <c r="D7" i="4" s="1"/>
  <c r="D18" i="4" s="1"/>
  <c r="H13" i="4"/>
  <c r="H62" i="4" s="1"/>
  <c r="G14" i="4"/>
  <c r="E103" i="15"/>
  <c r="E104" i="15" s="1"/>
  <c r="E118" i="15" s="1"/>
  <c r="E7" i="4" s="1"/>
  <c r="E18" i="4" s="1"/>
  <c r="E19" i="4" s="1"/>
  <c r="E36" i="4" s="1"/>
  <c r="E25" i="4"/>
  <c r="E35" i="9"/>
  <c r="F25" i="4"/>
  <c r="E23" i="4"/>
  <c r="G13" i="4"/>
  <c r="C19" i="4"/>
  <c r="C36" i="4" s="1"/>
  <c r="F40" i="15"/>
  <c r="F23" i="4"/>
  <c r="F104" i="15"/>
  <c r="F118" i="15" s="1"/>
  <c r="F7" i="4" s="1"/>
  <c r="F18" i="4" s="1"/>
  <c r="F19" i="4" s="1"/>
  <c r="G16" i="4"/>
  <c r="I95" i="3"/>
  <c r="E5" i="4"/>
  <c r="H104" i="15"/>
  <c r="H118" i="15" s="1"/>
  <c r="H7" i="4" s="1"/>
  <c r="G17" i="4"/>
  <c r="F15" i="9"/>
  <c r="G104" i="15"/>
  <c r="G118" i="15" s="1"/>
  <c r="G7" i="4" s="1"/>
  <c r="G18" i="4" s="1"/>
  <c r="G25" i="4"/>
  <c r="C43" i="4"/>
  <c r="C49" i="4"/>
  <c r="C55" i="4"/>
  <c r="C35" i="4"/>
  <c r="C54" i="4"/>
  <c r="D19" i="4" l="1"/>
  <c r="D36" i="4" s="1"/>
  <c r="D24" i="4"/>
  <c r="D28" i="4" s="1"/>
  <c r="G107" i="15"/>
  <c r="G109" i="15" s="1"/>
  <c r="H96" i="3"/>
  <c r="F107" i="15"/>
  <c r="F109" i="15" s="1"/>
  <c r="H107" i="15"/>
  <c r="H109" i="15" s="1"/>
  <c r="G96" i="3"/>
  <c r="E107" i="15"/>
  <c r="E109" i="15" s="1"/>
  <c r="E119" i="15" s="1"/>
  <c r="D107" i="15"/>
  <c r="F96" i="3"/>
  <c r="J96" i="3"/>
  <c r="C28" i="4"/>
  <c r="C58" i="4" s="1"/>
  <c r="G62" i="4"/>
  <c r="I96" i="3"/>
  <c r="F24" i="4"/>
  <c r="F26" i="4" s="1"/>
  <c r="C37" i="4"/>
  <c r="C21" i="4"/>
  <c r="C44" i="4" s="1"/>
  <c r="H18" i="4"/>
  <c r="H16" i="4"/>
  <c r="H15" i="4"/>
  <c r="E24" i="4"/>
  <c r="E26" i="4" s="1"/>
  <c r="F5" i="4"/>
  <c r="F36" i="4"/>
  <c r="G23" i="4"/>
  <c r="G24" i="4" s="1"/>
  <c r="G26" i="4" s="1"/>
  <c r="H17" i="4"/>
  <c r="H25" i="4"/>
  <c r="G19" i="4"/>
  <c r="D26" i="4" l="1"/>
  <c r="E111" i="15"/>
  <c r="E8" i="4"/>
  <c r="H111" i="15"/>
  <c r="H119" i="15"/>
  <c r="F111" i="15"/>
  <c r="F119" i="15"/>
  <c r="F8" i="4" s="1"/>
  <c r="G111" i="15"/>
  <c r="G119" i="15"/>
  <c r="G8" i="4" s="1"/>
  <c r="D109" i="15"/>
  <c r="D119" i="15" s="1"/>
  <c r="C57" i="4"/>
  <c r="C30" i="4"/>
  <c r="C51" i="4" s="1"/>
  <c r="C56" i="4"/>
  <c r="C59" i="4"/>
  <c r="F28" i="4"/>
  <c r="C46" i="4"/>
  <c r="C47" i="4" s="1"/>
  <c r="E28" i="4"/>
  <c r="H5" i="4"/>
  <c r="G5" i="4"/>
  <c r="H23" i="4"/>
  <c r="H24" i="4" s="1"/>
  <c r="H26" i="4" s="1"/>
  <c r="H19" i="4"/>
  <c r="G36" i="4"/>
  <c r="G28" i="4"/>
  <c r="D111" i="15" l="1"/>
  <c r="D8" i="4"/>
  <c r="D10" i="4" s="1"/>
  <c r="G124" i="15"/>
  <c r="G10" i="4" s="1"/>
  <c r="G63" i="4" s="1"/>
  <c r="H8" i="4"/>
  <c r="H124" i="15"/>
  <c r="E124" i="15"/>
  <c r="E10" i="4" s="1"/>
  <c r="E49" i="4" s="1"/>
  <c r="F124" i="15"/>
  <c r="F10" i="4" s="1"/>
  <c r="F63" i="4" s="1"/>
  <c r="C31" i="4"/>
  <c r="C50" i="4"/>
  <c r="H36" i="4"/>
  <c r="H28" i="4"/>
  <c r="D58" i="4" l="1"/>
  <c r="D21" i="4"/>
  <c r="E43" i="4"/>
  <c r="E57" i="4"/>
  <c r="E56" i="4"/>
  <c r="E58" i="4"/>
  <c r="E55" i="4"/>
  <c r="E54" i="4"/>
  <c r="E21" i="4"/>
  <c r="E44" i="4" s="1"/>
  <c r="E59" i="4"/>
  <c r="H10" i="4"/>
  <c r="H21" i="4" s="1"/>
  <c r="H44" i="4" s="1"/>
  <c r="D30" i="4"/>
  <c r="G21" i="4"/>
  <c r="G46" i="4" s="1"/>
  <c r="G47" i="4" s="1"/>
  <c r="G58" i="4"/>
  <c r="G30" i="4"/>
  <c r="G51" i="4" s="1"/>
  <c r="D56" i="4"/>
  <c r="G49" i="4"/>
  <c r="G55" i="4"/>
  <c r="G57" i="4"/>
  <c r="G56" i="4"/>
  <c r="F43" i="4"/>
  <c r="G35" i="4"/>
  <c r="G37" i="4" s="1"/>
  <c r="G43" i="4"/>
  <c r="G59" i="4"/>
  <c r="D43" i="4"/>
  <c r="G54" i="4"/>
  <c r="E30" i="4"/>
  <c r="E51" i="4" s="1"/>
  <c r="D54" i="4"/>
  <c r="D63" i="4"/>
  <c r="D46" i="4"/>
  <c r="D47" i="4" s="1"/>
  <c r="D49" i="4"/>
  <c r="D59" i="4"/>
  <c r="D124" i="15"/>
  <c r="D35" i="4"/>
  <c r="D37" i="4" s="1"/>
  <c r="D55" i="4"/>
  <c r="D57" i="4"/>
  <c r="E63" i="4"/>
  <c r="E35" i="4"/>
  <c r="E37" i="4" s="1"/>
  <c r="F59" i="4"/>
  <c r="F58" i="4"/>
  <c r="F35" i="4"/>
  <c r="F37" i="4" s="1"/>
  <c r="F49" i="4"/>
  <c r="F55" i="4"/>
  <c r="F30" i="4"/>
  <c r="F51" i="4" s="1"/>
  <c r="F56" i="4"/>
  <c r="F57" i="4"/>
  <c r="F54" i="4"/>
  <c r="F21" i="4"/>
  <c r="F46" i="4" s="1"/>
  <c r="F47" i="4" s="1"/>
  <c r="D50" i="4" l="1"/>
  <c r="D51" i="4"/>
  <c r="H63" i="4"/>
  <c r="G44" i="4"/>
  <c r="E50" i="4"/>
  <c r="H35" i="4"/>
  <c r="H37" i="4" s="1"/>
  <c r="H30" i="4"/>
  <c r="H51" i="4" s="1"/>
  <c r="H46" i="4"/>
  <c r="H47" i="4" s="1"/>
  <c r="H59" i="4"/>
  <c r="H55" i="4"/>
  <c r="G50" i="4"/>
  <c r="H56" i="4"/>
  <c r="H49" i="4"/>
  <c r="H57" i="4"/>
  <c r="H58" i="4"/>
  <c r="E46" i="4"/>
  <c r="E47" i="4" s="1"/>
  <c r="H54" i="4"/>
  <c r="H43" i="4"/>
  <c r="D31" i="4"/>
  <c r="E31" i="4" s="1"/>
  <c r="F31" i="4" s="1"/>
  <c r="G31" i="4" s="1"/>
  <c r="D20" i="11"/>
  <c r="D44" i="4"/>
  <c r="F50" i="4"/>
  <c r="D16" i="11"/>
  <c r="D18" i="11" s="1"/>
  <c r="F44" i="4"/>
  <c r="D23" i="11"/>
  <c r="H31" i="4" l="1"/>
  <c r="H50" i="4"/>
</calcChain>
</file>

<file path=xl/comments1.xml><?xml version="1.0" encoding="utf-8"?>
<comments xmlns="http://schemas.openxmlformats.org/spreadsheetml/2006/main">
  <authors>
    <author>Sian King</author>
  </authors>
  <commentList>
    <comment ref="B31" authorId="0" shapeId="0">
      <text>
        <r>
          <rPr>
            <b/>
            <sz val="9"/>
            <color indexed="81"/>
            <rFont val="Tahoma"/>
            <family val="2"/>
          </rPr>
          <t>Sian King:</t>
        </r>
        <r>
          <rPr>
            <sz val="9"/>
            <color indexed="81"/>
            <rFont val="Tahoma"/>
            <family val="2"/>
          </rPr>
          <t xml:space="preserve">
Archaelogogy
Design &amp; Creative Arts
IT, Software Engineering
Media Studies</t>
        </r>
      </text>
    </comment>
  </commentList>
</comments>
</file>

<file path=xl/comments2.xml><?xml version="1.0" encoding="utf-8"?>
<comments xmlns="http://schemas.openxmlformats.org/spreadsheetml/2006/main">
  <authors>
    <author>Sian King</author>
  </authors>
  <commentList>
    <comment ref="B8" authorId="0" shapeId="0">
      <text>
        <r>
          <rPr>
            <b/>
            <sz val="9"/>
            <color indexed="81"/>
            <rFont val="Tahoma"/>
            <family val="2"/>
          </rPr>
          <t>Sian King:</t>
        </r>
        <r>
          <rPr>
            <sz val="9"/>
            <color indexed="81"/>
            <rFont val="Tahoma"/>
            <family val="2"/>
          </rPr>
          <t xml:space="preserve">
scp 48</t>
        </r>
      </text>
    </comment>
    <comment ref="B11" authorId="0" shapeId="0">
      <text>
        <r>
          <rPr>
            <b/>
            <sz val="9"/>
            <color indexed="81"/>
            <rFont val="Tahoma"/>
            <family val="2"/>
          </rPr>
          <t>Sian King:</t>
        </r>
        <r>
          <rPr>
            <sz val="9"/>
            <color indexed="81"/>
            <rFont val="Tahoma"/>
            <family val="2"/>
          </rPr>
          <t xml:space="preserve">
scp 42</t>
        </r>
      </text>
    </comment>
    <comment ref="B14" authorId="0" shapeId="0">
      <text>
        <r>
          <rPr>
            <b/>
            <sz val="9"/>
            <color indexed="81"/>
            <rFont val="Tahoma"/>
            <family val="2"/>
          </rPr>
          <t>Sian King:</t>
        </r>
        <r>
          <rPr>
            <sz val="9"/>
            <color indexed="81"/>
            <rFont val="Tahoma"/>
            <family val="2"/>
          </rPr>
          <t xml:space="preserve">
Scp 33</t>
        </r>
      </text>
    </comment>
    <comment ref="B48" authorId="0" shapeId="0">
      <text>
        <r>
          <rPr>
            <b/>
            <sz val="9"/>
            <color indexed="81"/>
            <rFont val="Tahoma"/>
            <family val="2"/>
          </rPr>
          <t>Sian King:</t>
        </r>
        <r>
          <rPr>
            <sz val="9"/>
            <color indexed="81"/>
            <rFont val="Tahoma"/>
            <family val="2"/>
          </rPr>
          <t xml:space="preserve">
£850 per examiner</t>
        </r>
      </text>
    </comment>
    <comment ref="B51" authorId="0" shapeId="0">
      <text>
        <r>
          <rPr>
            <b/>
            <sz val="9"/>
            <color indexed="81"/>
            <rFont val="Tahoma"/>
            <family val="2"/>
          </rPr>
          <t>Sian King:</t>
        </r>
        <r>
          <rPr>
            <sz val="9"/>
            <color indexed="81"/>
            <rFont val="Tahoma"/>
            <family val="2"/>
          </rPr>
          <t xml:space="preserve">
Will the Faculty be required to cover the costs of APQO's &amp; SMT's travel costs?</t>
        </r>
      </text>
    </comment>
  </commentList>
</comments>
</file>

<file path=xl/sharedStrings.xml><?xml version="1.0" encoding="utf-8"?>
<sst xmlns="http://schemas.openxmlformats.org/spreadsheetml/2006/main" count="444" uniqueCount="331">
  <si>
    <t>BASE INFORMATION</t>
  </si>
  <si>
    <t>What level is this course?</t>
  </si>
  <si>
    <t>FT</t>
  </si>
  <si>
    <t>PT</t>
  </si>
  <si>
    <t>Total</t>
  </si>
  <si>
    <t>FTE</t>
  </si>
  <si>
    <t>Secretarial and support</t>
  </si>
  <si>
    <t>Cost per fte £</t>
  </si>
  <si>
    <t>Telephone</t>
  </si>
  <si>
    <t>Equipment (PC, software)</t>
  </si>
  <si>
    <t>Course related</t>
  </si>
  <si>
    <t xml:space="preserve">Equipment </t>
  </si>
  <si>
    <t>Course</t>
  </si>
  <si>
    <t>SWO</t>
  </si>
  <si>
    <t>£</t>
  </si>
  <si>
    <t>Costs</t>
  </si>
  <si>
    <t>Cost behaviour</t>
  </si>
  <si>
    <t>Fixed</t>
  </si>
  <si>
    <t>Variable</t>
  </si>
  <si>
    <t>Materials</t>
  </si>
  <si>
    <t>Academic staff</t>
  </si>
  <si>
    <t>Income down 10%</t>
  </si>
  <si>
    <t>Direct Costs up 10%</t>
  </si>
  <si>
    <t>Costs up and income down 10%</t>
  </si>
  <si>
    <t>Input by finance</t>
  </si>
  <si>
    <t>Franchise / validation</t>
  </si>
  <si>
    <t>Version of model</t>
  </si>
  <si>
    <t>version</t>
  </si>
  <si>
    <t>Course name</t>
  </si>
  <si>
    <t>Field trip/ Residential (net costs)</t>
  </si>
  <si>
    <t>Suggested minimum surplus on direct staff input</t>
  </si>
  <si>
    <t>Stationery etc</t>
  </si>
  <si>
    <t>Work load planning units</t>
  </si>
  <si>
    <t>Senior lecturer</t>
  </si>
  <si>
    <t>Lecturer</t>
  </si>
  <si>
    <t>Cost per unit £</t>
  </si>
  <si>
    <t>Secretarial and support FTE</t>
  </si>
  <si>
    <t>Principal Lecturer</t>
  </si>
  <si>
    <t>Development costs (fully costed) spread over 5 years</t>
  </si>
  <si>
    <t>Signature</t>
  </si>
  <si>
    <t>YEAR</t>
  </si>
  <si>
    <t>Reviewed and approved by:</t>
  </si>
  <si>
    <t>Name of Programme</t>
  </si>
  <si>
    <t>Name of Partner</t>
  </si>
  <si>
    <t>Key Objectives of Partnership</t>
  </si>
  <si>
    <t>Market Research &amp; Marketing</t>
  </si>
  <si>
    <t>1.5.1</t>
  </si>
  <si>
    <t>Market Research</t>
  </si>
  <si>
    <t>Please give evidence of market research and assessment of the potential market for the proposed partnership programme</t>
  </si>
  <si>
    <t>Give details of any further market research which is to be undertaken.</t>
  </si>
  <si>
    <t>1.5.2</t>
  </si>
  <si>
    <t>Marketing</t>
  </si>
  <si>
    <t>a) Who will be responsible for the development and implementation of a detailed marketing plan for the launch and ongoing marketing of the programme? Will it be Brookes or the partner?  Who will be the responsible officer?</t>
  </si>
  <si>
    <t>b) Will existing predicted demand be sufficient to generate viable student numbers for the proposed programme? If not, how will additional student demand be generated?  How many additional student FTEs will need to be generated?</t>
  </si>
  <si>
    <t>Summary Data</t>
  </si>
  <si>
    <t>1.6.1</t>
  </si>
  <si>
    <t>1.6.2</t>
  </si>
  <si>
    <t>Give details of any specific market research which has been conducted: by the partner, by Brookes, other (local, regional or national indicators)</t>
  </si>
  <si>
    <t>Notes to 1.6.1</t>
  </si>
  <si>
    <t>Key Players</t>
  </si>
  <si>
    <t>University:</t>
  </si>
  <si>
    <t>Staff Member Name:</t>
  </si>
  <si>
    <t>Main Role:</t>
  </si>
  <si>
    <t>Partner</t>
  </si>
  <si>
    <t>Contact Name:</t>
  </si>
  <si>
    <t>Action Plan</t>
  </si>
  <si>
    <t>Financial Analysis</t>
  </si>
  <si>
    <t xml:space="preserve">Please complete Section 4.  </t>
  </si>
  <si>
    <t>Risk Analysis</t>
  </si>
  <si>
    <t>Review</t>
  </si>
  <si>
    <t>Dean Name:</t>
  </si>
  <si>
    <t>Dean Signature</t>
  </si>
  <si>
    <t>Date:</t>
  </si>
  <si>
    <t>Financial Analysis - Base Information</t>
  </si>
  <si>
    <t>4.1.1</t>
  </si>
  <si>
    <t>4.1.2</t>
  </si>
  <si>
    <t>4.1.3</t>
  </si>
  <si>
    <t>4.1.4</t>
  </si>
  <si>
    <t>4.1.5</t>
  </si>
  <si>
    <t>4.1.6</t>
  </si>
  <si>
    <t>4.1.7</t>
  </si>
  <si>
    <t>4.1.8</t>
  </si>
  <si>
    <t>4.1.9</t>
  </si>
  <si>
    <t>4.2.1</t>
  </si>
  <si>
    <t>4.2.2</t>
  </si>
  <si>
    <t>4.2.3</t>
  </si>
  <si>
    <t>4.1.11</t>
  </si>
  <si>
    <t>4.1.12</t>
  </si>
  <si>
    <t>4.1.13</t>
  </si>
  <si>
    <t>4.3.1</t>
  </si>
  <si>
    <t>4.3.2</t>
  </si>
  <si>
    <t>4.3.3</t>
  </si>
  <si>
    <t>4.3.4</t>
  </si>
  <si>
    <t>Summary Income &amp; Expenditure</t>
  </si>
  <si>
    <t>Financial Analysis - Student Data</t>
  </si>
  <si>
    <t>Financial Analysis - Staff &amp; Direct Costs</t>
  </si>
  <si>
    <t>No of Programmes</t>
  </si>
  <si>
    <t>Year 1 Intake</t>
  </si>
  <si>
    <t>Year 2 Intake</t>
  </si>
  <si>
    <t>Year 3 Intake</t>
  </si>
  <si>
    <t>Year 4 Intake</t>
  </si>
  <si>
    <t>Year 5 Intake</t>
  </si>
  <si>
    <t>Income Questions</t>
  </si>
  <si>
    <t>Income Assumptions</t>
  </si>
  <si>
    <t>Give details of any feeder course, including the name of the programme(s), the current location of delivery and validating institution, and current and projected student numbers expected to require progression.</t>
  </si>
  <si>
    <r>
      <t xml:space="preserve">c) What will be the process for the generation and approval of marketing materials? </t>
    </r>
    <r>
      <rPr>
        <i/>
        <sz val="10"/>
        <rFont val="Arial"/>
        <family val="2"/>
      </rPr>
      <t>(Please note all marketing materials must be approved by Corporate Affairs)</t>
    </r>
  </si>
  <si>
    <t>Please complete Section 3: Action Plan - which sets out the timing of the steps leading up to the launch of the new programme.</t>
  </si>
  <si>
    <t>Start Year for Programme</t>
  </si>
  <si>
    <t>Length of Programme</t>
  </si>
  <si>
    <t>New Programme or Revalidation</t>
  </si>
  <si>
    <t>Will these student have enrolled or registered status?</t>
  </si>
  <si>
    <t xml:space="preserve">d) Please complete Section 2 - 'Marketing Plan' </t>
  </si>
  <si>
    <t>Please note, you will be required to report to LPAG annually after the establishment of the programme.  You will need to be able to produce a financial report which shows the actual number of students recruited and income collected compared with the estimates presented in the financial analysis (1.9) above.</t>
  </si>
  <si>
    <t xml:space="preserve">FTE of student </t>
  </si>
  <si>
    <t>Amend if necessary</t>
  </si>
  <si>
    <t>External Examiner</t>
  </si>
  <si>
    <t>Programme Related Overheads</t>
  </si>
  <si>
    <t>Corporate Affairs:</t>
  </si>
  <si>
    <t>Finance &amp; Legal:</t>
  </si>
  <si>
    <t>per year for co-ordinating the process of partner set up</t>
  </si>
  <si>
    <t>per year for a new programme for feasibility study, letter of intention, contract &amp; business plan assistance</t>
  </si>
  <si>
    <t>per year for an existing prrogramme for contract &amp; business plan assistance</t>
  </si>
  <si>
    <t>Academic Registry &amp; Student Affairs:</t>
  </si>
  <si>
    <t>per student bodies for student record maintenance</t>
  </si>
  <si>
    <t>per year for a new programme for operational manual assistance</t>
  </si>
  <si>
    <t>per year for an existing programme for operational manual assistance</t>
  </si>
  <si>
    <t>Learning Resources</t>
  </si>
  <si>
    <t>of Student FTE's fee</t>
  </si>
  <si>
    <t>DO NOT PRINT</t>
  </si>
  <si>
    <t>1.5.3</t>
  </si>
  <si>
    <t>1.5.4</t>
  </si>
  <si>
    <t>Key Financial Indicators</t>
  </si>
  <si>
    <t>Will the students be entitled to obtain a Brookes Bursary?</t>
  </si>
  <si>
    <t>4.2.4</t>
  </si>
  <si>
    <t>Home/EU or International partnership</t>
  </si>
  <si>
    <t>Cost Accountant (Sian King)</t>
  </si>
  <si>
    <t>Head of Finance/Finance Manager</t>
  </si>
  <si>
    <t>Once finalised an electronic copy should be sent to:</t>
  </si>
  <si>
    <t>Contribution Margin after 3 years</t>
  </si>
  <si>
    <t>Number of years taken to achieve breakeven (on contribution):</t>
  </si>
  <si>
    <t>Minimum income is direct staff cost plus 30%.</t>
  </si>
  <si>
    <t>(Surplus)/shortfall on minimum income after 3 yrs</t>
  </si>
  <si>
    <t>Accumulated contribution after 3 yrs</t>
  </si>
  <si>
    <t>Contribution divided by income</t>
  </si>
  <si>
    <t xml:space="preserve"> Income less direct costs</t>
  </si>
  <si>
    <t>Income Inflation Percentage (as agreed with partner)</t>
  </si>
  <si>
    <t>year 1</t>
  </si>
  <si>
    <t>year 2</t>
  </si>
  <si>
    <t>year 3</t>
  </si>
  <si>
    <t>year 4</t>
  </si>
  <si>
    <t>year 5</t>
  </si>
  <si>
    <t>Academic</t>
  </si>
  <si>
    <t>Income</t>
  </si>
  <si>
    <t>Contribution</t>
  </si>
  <si>
    <t>ORIGINAL HOME FACULTY</t>
  </si>
  <si>
    <t>Faculty</t>
  </si>
  <si>
    <t>Please complete Section 5.  Please read guidance on the APQO website and then complete the proforma.</t>
  </si>
  <si>
    <t>Approval by Faculty</t>
  </si>
  <si>
    <t>The Faculty's link QAO</t>
  </si>
  <si>
    <t>The Business Plan with all its elements should be approved by the Dean of the Faculty involved:</t>
  </si>
  <si>
    <t>4.1.14</t>
  </si>
  <si>
    <t>4.1.15</t>
  </si>
  <si>
    <t>Are the Teaching Staff, teaching this course on a Brookes Site</t>
  </si>
  <si>
    <t>Year 6 Intake</t>
  </si>
  <si>
    <t>Student Bodies</t>
  </si>
  <si>
    <t xml:space="preserve">Home/EU: </t>
  </si>
  <si>
    <t>Full Time Bodies</t>
  </si>
  <si>
    <t>Part Time Bodies</t>
  </si>
  <si>
    <t>Sandwich Out</t>
  </si>
  <si>
    <t>Writing Up Students</t>
  </si>
  <si>
    <t>Home/EU FTE:</t>
  </si>
  <si>
    <t>International:</t>
  </si>
  <si>
    <t>Year 1</t>
  </si>
  <si>
    <t>Year 2</t>
  </si>
  <si>
    <t>Final Year</t>
  </si>
  <si>
    <t>Year 3</t>
  </si>
  <si>
    <t>Year 4</t>
  </si>
  <si>
    <t>Year 5</t>
  </si>
  <si>
    <t>Year 6</t>
  </si>
  <si>
    <t>International FTE:</t>
  </si>
  <si>
    <t>Total FTE</t>
  </si>
  <si>
    <t>Student Fees</t>
  </si>
  <si>
    <t xml:space="preserve">Foundation Home/EU: </t>
  </si>
  <si>
    <t>Fixed Fee</t>
  </si>
  <si>
    <t>Full Time Fee</t>
  </si>
  <si>
    <t>Part Time Fee</t>
  </si>
  <si>
    <t>Part Time Fee Year 4</t>
  </si>
  <si>
    <t>Part Time Fee Year 5</t>
  </si>
  <si>
    <t>Part Time Fee Year 6</t>
  </si>
  <si>
    <t xml:space="preserve">Undergraduate Home/EU: </t>
  </si>
  <si>
    <t>Part Time Fee (£750 per Module)</t>
  </si>
  <si>
    <t>Sandwich Out Fee</t>
  </si>
  <si>
    <t>Writing Up Fee</t>
  </si>
  <si>
    <t xml:space="preserve"> Home/EU: </t>
  </si>
  <si>
    <t xml:space="preserve"> International:</t>
  </si>
  <si>
    <t>Programme name</t>
  </si>
  <si>
    <t>New Regime HEFCE Funding (approx)</t>
  </si>
  <si>
    <t>4.1.10</t>
  </si>
  <si>
    <t>Hefce Funding</t>
  </si>
  <si>
    <t>New Regime Student FTE</t>
  </si>
  <si>
    <t>Total HEFCE Funding</t>
  </si>
  <si>
    <t>Tutition Fees</t>
  </si>
  <si>
    <t>No - Offsite</t>
  </si>
  <si>
    <t>New</t>
  </si>
  <si>
    <t>HEFCE Price Group</t>
  </si>
  <si>
    <t>Total Income</t>
  </si>
  <si>
    <t>% of Total Income to Brookes</t>
  </si>
  <si>
    <t>% of Total Income to Partner</t>
  </si>
  <si>
    <t>4.2.5</t>
  </si>
  <si>
    <t>4.2.6</t>
  </si>
  <si>
    <t>4.2.7</t>
  </si>
  <si>
    <t>4.2.8</t>
  </si>
  <si>
    <t>TOTAL INCOME TO BROOKES</t>
  </si>
  <si>
    <t>HEFCE Funding</t>
  </si>
  <si>
    <t>4.2.9</t>
  </si>
  <si>
    <t>Existing Staff</t>
  </si>
  <si>
    <t>Max of 1600 WLP units are available per FTE</t>
  </si>
  <si>
    <t>Please only include dedicated course support staff</t>
  </si>
  <si>
    <t>New Staff</t>
  </si>
  <si>
    <t>Staff Cost</t>
  </si>
  <si>
    <t>Academic WLP Units</t>
  </si>
  <si>
    <t>Existing</t>
  </si>
  <si>
    <t>Total Staff Costs</t>
  </si>
  <si>
    <t>Staff related</t>
  </si>
  <si>
    <t>Total Staff Related</t>
  </si>
  <si>
    <t>Other (including depreciation on equipment)</t>
  </si>
  <si>
    <t>Total Course Related Costs</t>
  </si>
  <si>
    <t>Total Direct Costs</t>
  </si>
  <si>
    <t>Analysis of Direct costs</t>
  </si>
  <si>
    <t>Total Fixed</t>
  </si>
  <si>
    <t>Total Variable</t>
  </si>
  <si>
    <t>Total Fixed and Variable</t>
  </si>
  <si>
    <t>Total Variable cost per student FTE</t>
  </si>
  <si>
    <t>Set Up/Validation</t>
  </si>
  <si>
    <t>4.3.5</t>
  </si>
  <si>
    <t>Travel Related</t>
  </si>
  <si>
    <t>Staff - Existing</t>
  </si>
  <si>
    <t>Staff - New</t>
  </si>
  <si>
    <t>Direct</t>
  </si>
  <si>
    <t>Faculty Overhead</t>
  </si>
  <si>
    <t>University Overheads</t>
  </si>
  <si>
    <t>Total Overheads</t>
  </si>
  <si>
    <t>TOTAL COST</t>
  </si>
  <si>
    <t>Full Cost Surplus/(Deficit)</t>
  </si>
  <si>
    <t>Accumulated Full Cost Surplus/(Deficit)</t>
  </si>
  <si>
    <t>Key Indicators</t>
  </si>
  <si>
    <t>SSR</t>
  </si>
  <si>
    <t>Income per academic FTE £</t>
  </si>
  <si>
    <t>Income in excess of direct costs</t>
  </si>
  <si>
    <t>Income in excess of direct costs as % income</t>
  </si>
  <si>
    <t>Staff costs as % of income</t>
  </si>
  <si>
    <t>Surplus (Deficit) % turnover</t>
  </si>
  <si>
    <t>Surplus (Deficit) per £ academic salary</t>
  </si>
  <si>
    <t>Sensitivity analysis - Surplus/(Deficit)</t>
  </si>
  <si>
    <t>Direct costs up 15%</t>
  </si>
  <si>
    <t>Income down 15%</t>
  </si>
  <si>
    <t>Costs up and income down 15%</t>
  </si>
  <si>
    <t>Minimum target surplus before specific risks</t>
  </si>
  <si>
    <t>Suggested target % direct staff</t>
  </si>
  <si>
    <t>Additional surplus or (shortfall)</t>
  </si>
  <si>
    <t>Dean of school</t>
  </si>
  <si>
    <t>Faculty Head of Finance &amp; Planning</t>
  </si>
  <si>
    <t>4.3.6</t>
  </si>
  <si>
    <t>4.3.8</t>
  </si>
  <si>
    <t>4.3.7</t>
  </si>
  <si>
    <t>4.4.1</t>
  </si>
  <si>
    <t>Travel related</t>
  </si>
  <si>
    <t>Costs:</t>
  </si>
  <si>
    <t>Exit Strategy (10% of Cost Min)</t>
  </si>
  <si>
    <t>Inflation</t>
  </si>
  <si>
    <t>Inflation Non Pay Costs 2% pa</t>
  </si>
  <si>
    <t>Inflation Income (non HEFCE) 4%pa</t>
  </si>
  <si>
    <t>Home</t>
  </si>
  <si>
    <t>Overseas</t>
  </si>
  <si>
    <t xml:space="preserve">WRI </t>
  </si>
  <si>
    <t>UNIT</t>
  </si>
  <si>
    <t>100% (9/9)</t>
  </si>
  <si>
    <t>Masters</t>
  </si>
  <si>
    <t>Diploma</t>
  </si>
  <si>
    <t>Certificate</t>
  </si>
  <si>
    <t>Assume a 4% increase in the base fee per year</t>
  </si>
  <si>
    <t>Directorates</t>
  </si>
  <si>
    <t>Indirect Charges per Academic FTE</t>
  </si>
  <si>
    <t>Estate Charges per Academic FTE</t>
  </si>
  <si>
    <t>Yes - Onsite</t>
  </si>
  <si>
    <t>Teaching Staff Onsite or Offsite?</t>
  </si>
  <si>
    <t>HEFCE Price Group B UG</t>
  </si>
  <si>
    <t>HEFCE Price Group B PG</t>
  </si>
  <si>
    <t>HEFCE Price Group C1 UG</t>
  </si>
  <si>
    <t>HEFCE Price Group C1 PG</t>
  </si>
  <si>
    <t>HEFCE Price Group C2 PG</t>
  </si>
  <si>
    <t>New Regime Student Fees per FTE</t>
  </si>
  <si>
    <t>Please include inflation</t>
  </si>
  <si>
    <t>Validation Income</t>
  </si>
  <si>
    <t>Validation I&amp;E</t>
  </si>
  <si>
    <t xml:space="preserve">Validation Income </t>
  </si>
  <si>
    <t>Any Other Income</t>
  </si>
  <si>
    <t>Bottom Line Contribution Surplus/(Deficit)</t>
  </si>
  <si>
    <t>Bottom Line Contribution</t>
  </si>
  <si>
    <t>4.4.2</t>
  </si>
  <si>
    <t>4.4.3</t>
  </si>
  <si>
    <t>4.4.4</t>
  </si>
  <si>
    <t>4.4.5</t>
  </si>
  <si>
    <t>4.4.6</t>
  </si>
  <si>
    <t>4.4.7</t>
  </si>
  <si>
    <t>4.4.8</t>
  </si>
  <si>
    <t>4.4.9</t>
  </si>
  <si>
    <t>Contribution per academic FTE £</t>
  </si>
  <si>
    <t>Academic FTE</t>
  </si>
  <si>
    <t>LPAG highly recommend that faculties obtain payments from the partners for upfront costs and that these payments are built into the contract.</t>
  </si>
  <si>
    <t>Tuition Fees</t>
  </si>
  <si>
    <t>Total Tuition Fees</t>
  </si>
  <si>
    <t>Assumed an average of 4 modules per year; Max of £3750 from 16/17 4760</t>
  </si>
  <si>
    <t>Set-up - plans, negotiation, validation, curriculum design, meetings etc</t>
  </si>
  <si>
    <t>Liaison officer visits</t>
  </si>
  <si>
    <t>Programme Devt Group</t>
  </si>
  <si>
    <t>Validation Event</t>
  </si>
  <si>
    <t>*</t>
  </si>
  <si>
    <t>PG Home/EU:</t>
  </si>
  <si>
    <t>UG/PG International:</t>
  </si>
  <si>
    <t>Drop-out Rate</t>
  </si>
  <si>
    <t>Postgraduate Base Fees 2016-17</t>
  </si>
  <si>
    <t>Inflation Pay Costs 1.5% pa</t>
  </si>
  <si>
    <t>TRAC Overheads Charges 2015-16 (Plus 2% x 2 compounded inflation)</t>
  </si>
  <si>
    <t>FOB</t>
  </si>
  <si>
    <t>2017-18</t>
  </si>
  <si>
    <t>2016-15</t>
  </si>
  <si>
    <t>2015-16</t>
  </si>
  <si>
    <t>2014-15</t>
  </si>
  <si>
    <t>Professional Services</t>
  </si>
  <si>
    <t>Please only include dedicated professional services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</si>
</sst>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 #,##0_-;\-* #,##0_-;_-* &quot;-&quot;??_-;_-@_-"/>
    <numFmt numFmtId="166" formatCode="#,##0;\(#,##0\)"/>
    <numFmt numFmtId="167" formatCode="_-* #,##0.000_-;\-* #,##0.000_-;_-* &quot;-&quot;??_-;_-@_-"/>
  </numFmts>
  <fonts count="25" x14ac:knownFonts="1">
    <font>
      <sz val="10"/>
      <name val="Arial"/>
    </font>
    <font>
      <sz val="10"/>
      <name val="Arial"/>
      <family val="2"/>
    </font>
    <font>
      <b/>
      <sz val="10"/>
      <name val="Arial"/>
      <family val="2"/>
    </font>
    <font>
      <sz val="10"/>
      <name val="Arial"/>
      <family val="2"/>
    </font>
    <font>
      <b/>
      <u/>
      <sz val="14"/>
      <name val="Arial"/>
      <family val="2"/>
    </font>
    <font>
      <b/>
      <sz val="12"/>
      <name val="Arial"/>
      <family val="2"/>
    </font>
    <font>
      <b/>
      <u/>
      <sz val="12"/>
      <name val="Arial"/>
      <family val="2"/>
    </font>
    <font>
      <b/>
      <sz val="14"/>
      <name val="Arial"/>
      <family val="2"/>
    </font>
    <font>
      <i/>
      <sz val="10"/>
      <name val="Arial"/>
      <family val="2"/>
    </font>
    <font>
      <i/>
      <sz val="9"/>
      <name val="Arial"/>
      <family val="2"/>
    </font>
    <font>
      <sz val="10"/>
      <color indexed="10"/>
      <name val="Arial"/>
      <family val="2"/>
    </font>
    <font>
      <b/>
      <sz val="10"/>
      <color indexed="10"/>
      <name val="Arial"/>
      <family val="2"/>
    </font>
    <font>
      <b/>
      <u/>
      <sz val="10"/>
      <name val="Arial"/>
      <family val="2"/>
    </font>
    <font>
      <sz val="9"/>
      <name val="Arial"/>
      <family val="2"/>
    </font>
    <font>
      <b/>
      <sz val="9"/>
      <color indexed="81"/>
      <name val="Tahoma"/>
      <family val="2"/>
    </font>
    <font>
      <sz val="9"/>
      <color indexed="81"/>
      <name val="Tahoma"/>
      <family val="2"/>
    </font>
    <font>
      <b/>
      <i/>
      <sz val="10"/>
      <name val="Arial"/>
      <family val="2"/>
    </font>
    <font>
      <b/>
      <sz val="9"/>
      <name val="Arial"/>
      <family val="2"/>
    </font>
    <font>
      <sz val="10"/>
      <name val="Arial"/>
      <family val="2"/>
    </font>
    <font>
      <sz val="10"/>
      <name val="Arial"/>
      <family val="2"/>
    </font>
    <font>
      <sz val="10"/>
      <color theme="0" tint="-0.14999847407452621"/>
      <name val="Arial"/>
      <family val="2"/>
    </font>
    <font>
      <sz val="10"/>
      <name val="Arial"/>
      <family val="2"/>
    </font>
    <font>
      <sz val="10"/>
      <color rgb="FF222222"/>
      <name val="Arial"/>
      <family val="2"/>
    </font>
    <font>
      <b/>
      <sz val="12"/>
      <color rgb="FF000000"/>
      <name val="Arial"/>
      <family val="2"/>
    </font>
    <font>
      <sz val="10.5"/>
      <name val="Arial"/>
      <family val="2"/>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0" fillId="0" borderId="0" xfId="0" applyProtection="1">
      <protection locked="0"/>
    </xf>
    <xf numFmtId="0" fontId="0" fillId="0" borderId="1" xfId="0" applyFill="1" applyBorder="1" applyProtection="1">
      <protection locked="0"/>
    </xf>
    <xf numFmtId="0" fontId="0" fillId="0" borderId="0" xfId="0" applyFill="1" applyProtection="1">
      <protection locked="0"/>
    </xf>
    <xf numFmtId="0" fontId="5" fillId="0" borderId="0" xfId="0" applyFont="1" applyProtection="1"/>
    <xf numFmtId="0" fontId="6" fillId="0" borderId="0" xfId="0" applyFont="1" applyProtection="1"/>
    <xf numFmtId="0" fontId="0" fillId="0" borderId="0" xfId="0" applyProtection="1"/>
    <xf numFmtId="0" fontId="0" fillId="2" borderId="0" xfId="0" applyFill="1" applyProtection="1"/>
    <xf numFmtId="0" fontId="2" fillId="0" borderId="0" xfId="0" applyFont="1" applyProtection="1"/>
    <xf numFmtId="0" fontId="4" fillId="0" borderId="0" xfId="0" applyFont="1" applyProtection="1"/>
    <xf numFmtId="164" fontId="0" fillId="0" borderId="0" xfId="0" applyNumberFormat="1" applyProtection="1"/>
    <xf numFmtId="0" fontId="0" fillId="0" borderId="0" xfId="0" applyFill="1" applyProtection="1"/>
    <xf numFmtId="0" fontId="3" fillId="0" borderId="0" xfId="0" applyFont="1" applyProtection="1"/>
    <xf numFmtId="2" fontId="0" fillId="0" borderId="0" xfId="0" applyNumberFormat="1" applyProtection="1"/>
    <xf numFmtId="0" fontId="0" fillId="0" borderId="0" xfId="0" applyFill="1" applyBorder="1" applyProtection="1"/>
    <xf numFmtId="165" fontId="0" fillId="2" borderId="1" xfId="1" applyNumberFormat="1" applyFont="1" applyFill="1" applyBorder="1" applyProtection="1"/>
    <xf numFmtId="0" fontId="7" fillId="0" borderId="0" xfId="0" applyFont="1" applyProtection="1"/>
    <xf numFmtId="164" fontId="5" fillId="0" borderId="0" xfId="0" applyNumberFormat="1" applyFont="1" applyProtection="1"/>
    <xf numFmtId="0" fontId="2" fillId="0" borderId="0" xfId="0" applyFont="1" applyFill="1" applyProtection="1"/>
    <xf numFmtId="0" fontId="0" fillId="0" borderId="0" xfId="0" applyFill="1" applyBorder="1" applyProtection="1">
      <protection locked="0"/>
    </xf>
    <xf numFmtId="165" fontId="2" fillId="2" borderId="1" xfId="1" applyNumberFormat="1" applyFont="1" applyFill="1" applyBorder="1" applyProtection="1"/>
    <xf numFmtId="0" fontId="0" fillId="0" borderId="0" xfId="0" applyAlignment="1" applyProtection="1">
      <alignment wrapText="1"/>
    </xf>
    <xf numFmtId="0" fontId="2" fillId="0" borderId="0" xfId="0" applyFont="1" applyProtection="1">
      <protection locked="0"/>
    </xf>
    <xf numFmtId="0" fontId="2" fillId="2" borderId="0" xfId="0" applyFont="1" applyFill="1" applyProtection="1"/>
    <xf numFmtId="0" fontId="0" fillId="3" borderId="0" xfId="0" applyFill="1"/>
    <xf numFmtId="0" fontId="2" fillId="3" borderId="0" xfId="0" applyFont="1" applyFill="1"/>
    <xf numFmtId="0" fontId="3" fillId="3" borderId="3" xfId="0" applyFont="1" applyFill="1" applyBorder="1"/>
    <xf numFmtId="0" fontId="0" fillId="3" borderId="4" xfId="0" applyFill="1" applyBorder="1"/>
    <xf numFmtId="0" fontId="0" fillId="3" borderId="5" xfId="0" applyFill="1" applyBorder="1"/>
    <xf numFmtId="0" fontId="2" fillId="3" borderId="6" xfId="0" applyFont="1" applyFill="1" applyBorder="1"/>
    <xf numFmtId="0" fontId="0" fillId="3" borderId="2" xfId="0" applyFill="1" applyBorder="1"/>
    <xf numFmtId="0" fontId="0" fillId="3" borderId="7" xfId="0" applyFill="1" applyBorder="1"/>
    <xf numFmtId="0" fontId="0" fillId="3" borderId="8" xfId="0" applyFill="1" applyBorder="1"/>
    <xf numFmtId="0" fontId="0" fillId="3" borderId="9" xfId="0" applyFill="1" applyBorder="1"/>
    <xf numFmtId="0" fontId="3" fillId="3" borderId="3" xfId="0" applyFont="1" applyFill="1" applyBorder="1" applyAlignment="1">
      <alignment wrapText="1"/>
    </xf>
    <xf numFmtId="0" fontId="2" fillId="3" borderId="10" xfId="0" applyFont="1" applyFill="1" applyBorder="1"/>
    <xf numFmtId="0" fontId="0" fillId="3" borderId="0" xfId="0" applyFill="1" applyBorder="1"/>
    <xf numFmtId="0" fontId="0" fillId="3" borderId="11" xfId="0" applyFill="1" applyBorder="1"/>
    <xf numFmtId="0" fontId="0" fillId="3" borderId="6" xfId="0" applyFill="1" applyBorder="1"/>
    <xf numFmtId="0" fontId="0" fillId="3" borderId="12" xfId="0" applyFill="1" applyBorder="1"/>
    <xf numFmtId="10" fontId="0" fillId="3" borderId="8" xfId="0" applyNumberFormat="1" applyFill="1" applyBorder="1"/>
    <xf numFmtId="0" fontId="0" fillId="3" borderId="0" xfId="0" applyFill="1" applyAlignment="1">
      <alignment horizontal="right"/>
    </xf>
    <xf numFmtId="0" fontId="11" fillId="0" borderId="0" xfId="0" applyFont="1" applyFill="1" applyBorder="1" applyAlignment="1" applyProtection="1">
      <alignment horizontal="center" vertical="center"/>
    </xf>
    <xf numFmtId="0" fontId="3" fillId="3" borderId="10" xfId="0" applyFont="1" applyFill="1" applyBorder="1"/>
    <xf numFmtId="164" fontId="0" fillId="0" borderId="0" xfId="0" applyNumberFormat="1" applyFill="1" applyProtection="1"/>
    <xf numFmtId="0" fontId="0" fillId="0" borderId="0" xfId="0" applyFill="1" applyBorder="1" applyAlignment="1" applyProtection="1"/>
    <xf numFmtId="0" fontId="10" fillId="0" borderId="0" xfId="0" applyFont="1" applyFill="1" applyProtection="1"/>
    <xf numFmtId="0" fontId="10" fillId="0" borderId="0" xfId="0" applyFont="1" applyFill="1" applyAlignment="1" applyProtection="1">
      <alignment horizontal="left" vertical="center" wrapText="1"/>
    </xf>
    <xf numFmtId="0" fontId="10" fillId="0" borderId="0" xfId="0" applyFont="1" applyFill="1" applyBorder="1" applyAlignment="1" applyProtection="1">
      <alignment horizontal="left" vertical="center" wrapText="1"/>
    </xf>
    <xf numFmtId="0" fontId="9" fillId="0" borderId="0" xfId="0" applyFont="1" applyAlignment="1" applyProtection="1">
      <alignment horizontal="left"/>
    </xf>
    <xf numFmtId="0" fontId="9" fillId="0" borderId="0" xfId="0" applyFont="1" applyAlignment="1" applyProtection="1"/>
    <xf numFmtId="0" fontId="9" fillId="0" borderId="0" xfId="0" applyFont="1" applyAlignment="1" applyProtection="1">
      <alignment horizontal="left" wrapText="1"/>
    </xf>
    <xf numFmtId="0" fontId="9" fillId="0" borderId="0" xfId="0" applyFont="1" applyAlignment="1" applyProtection="1">
      <alignment wrapText="1"/>
    </xf>
    <xf numFmtId="0" fontId="0" fillId="0" borderId="0" xfId="0" applyAlignment="1" applyProtection="1">
      <alignment horizontal="left"/>
    </xf>
    <xf numFmtId="0" fontId="0" fillId="0" borderId="2" xfId="0" applyBorder="1" applyProtection="1"/>
    <xf numFmtId="0" fontId="2" fillId="0" borderId="0" xfId="0" applyFont="1" applyFill="1" applyProtection="1">
      <protection locked="0"/>
    </xf>
    <xf numFmtId="0" fontId="3" fillId="0" borderId="0" xfId="0" applyFont="1" applyFill="1" applyProtection="1"/>
    <xf numFmtId="0" fontId="0" fillId="0" borderId="8" xfId="0" applyFill="1" applyBorder="1" applyProtection="1">
      <protection locked="0"/>
    </xf>
    <xf numFmtId="164" fontId="3" fillId="0" borderId="0" xfId="0" applyNumberFormat="1" applyFont="1" applyProtection="1">
      <protection locked="0"/>
    </xf>
    <xf numFmtId="0" fontId="12" fillId="0" borderId="0" xfId="0" applyFont="1" applyProtection="1">
      <protection locked="0"/>
    </xf>
    <xf numFmtId="0" fontId="3" fillId="0" borderId="0" xfId="0" applyFont="1" applyProtection="1">
      <protection locked="0"/>
    </xf>
    <xf numFmtId="0" fontId="3" fillId="0" borderId="0" xfId="0" applyFont="1" applyFill="1" applyProtection="1">
      <protection locked="0"/>
    </xf>
    <xf numFmtId="43" fontId="3" fillId="0" borderId="0" xfId="0" applyNumberFormat="1" applyFont="1" applyFill="1" applyBorder="1" applyProtection="1">
      <protection locked="0"/>
    </xf>
    <xf numFmtId="0" fontId="3" fillId="0" borderId="0" xfId="0" applyFont="1" applyFill="1" applyBorder="1" applyProtection="1">
      <protection locked="0"/>
    </xf>
    <xf numFmtId="0" fontId="3" fillId="0" borderId="0" xfId="0" applyFont="1" applyAlignment="1" applyProtection="1">
      <alignment wrapText="1"/>
      <protection locked="0"/>
    </xf>
    <xf numFmtId="0" fontId="0" fillId="4" borderId="1" xfId="0" applyFill="1" applyBorder="1" applyProtection="1">
      <protection locked="0"/>
    </xf>
    <xf numFmtId="43" fontId="0" fillId="4" borderId="0" xfId="1" applyFont="1" applyFill="1" applyProtection="1">
      <protection locked="0"/>
    </xf>
    <xf numFmtId="0" fontId="0" fillId="4" borderId="1" xfId="0" applyFill="1" applyBorder="1" applyAlignment="1" applyProtection="1">
      <alignment wrapText="1"/>
      <protection locked="0"/>
    </xf>
    <xf numFmtId="9" fontId="3" fillId="4" borderId="1" xfId="3" applyFont="1" applyFill="1" applyBorder="1" applyProtection="1">
      <protection locked="0"/>
    </xf>
    <xf numFmtId="43" fontId="0" fillId="4" borderId="1" xfId="1" applyFont="1" applyFill="1" applyBorder="1" applyProtection="1">
      <protection locked="0"/>
    </xf>
    <xf numFmtId="166" fontId="2" fillId="2" borderId="1" xfId="0" applyNumberFormat="1" applyFont="1" applyFill="1" applyBorder="1" applyAlignment="1" applyProtection="1">
      <alignment horizontal="center" vertical="center"/>
    </xf>
    <xf numFmtId="9" fontId="2" fillId="2" borderId="1" xfId="3" applyFont="1" applyFill="1" applyBorder="1" applyAlignment="1" applyProtection="1">
      <alignment horizontal="center" vertical="center"/>
    </xf>
    <xf numFmtId="14" fontId="0" fillId="3" borderId="0" xfId="0" applyNumberFormat="1" applyFill="1"/>
    <xf numFmtId="43" fontId="0" fillId="3" borderId="0" xfId="1" applyFont="1" applyFill="1"/>
    <xf numFmtId="167" fontId="0" fillId="3" borderId="0" xfId="1" applyNumberFormat="1" applyFont="1" applyFill="1"/>
    <xf numFmtId="0" fontId="2" fillId="0" borderId="0" xfId="0" applyFont="1" applyAlignment="1" applyProtection="1">
      <alignment wrapText="1"/>
    </xf>
    <xf numFmtId="165" fontId="2" fillId="2" borderId="1" xfId="1" applyNumberFormat="1" applyFont="1" applyFill="1" applyBorder="1" applyProtection="1">
      <protection locked="0"/>
    </xf>
    <xf numFmtId="3" fontId="0" fillId="0" borderId="0" xfId="0" applyNumberFormat="1" applyFill="1" applyBorder="1" applyProtection="1"/>
    <xf numFmtId="43" fontId="2" fillId="2" borderId="1" xfId="1" applyFont="1" applyFill="1" applyBorder="1" applyProtection="1"/>
    <xf numFmtId="0" fontId="6" fillId="0" borderId="0" xfId="0" applyFont="1" applyProtection="1">
      <protection locked="0"/>
    </xf>
    <xf numFmtId="1" fontId="0" fillId="3" borderId="4" xfId="0" applyNumberFormat="1" applyFill="1" applyBorder="1"/>
    <xf numFmtId="1" fontId="0" fillId="3" borderId="0" xfId="0" applyNumberFormat="1" applyFill="1" applyBorder="1"/>
    <xf numFmtId="1" fontId="0" fillId="3" borderId="2" xfId="0" applyNumberFormat="1" applyFill="1" applyBorder="1"/>
    <xf numFmtId="0" fontId="2" fillId="0" borderId="0" xfId="0" applyFont="1" applyAlignment="1" applyProtection="1">
      <alignment horizontal="center"/>
    </xf>
    <xf numFmtId="43" fontId="18" fillId="5" borderId="0" xfId="1" applyFont="1" applyFill="1" applyProtection="1"/>
    <xf numFmtId="9" fontId="0" fillId="5" borderId="0" xfId="0" applyNumberFormat="1" applyFill="1" applyProtection="1"/>
    <xf numFmtId="0" fontId="3" fillId="6" borderId="1" xfId="0" applyFont="1" applyFill="1" applyBorder="1" applyProtection="1"/>
    <xf numFmtId="165" fontId="3" fillId="5" borderId="1" xfId="1" applyNumberFormat="1" applyFont="1" applyFill="1" applyBorder="1" applyProtection="1"/>
    <xf numFmtId="165" fontId="3" fillId="7" borderId="1" xfId="1" applyNumberFormat="1" applyFont="1" applyFill="1" applyBorder="1" applyProtection="1"/>
    <xf numFmtId="0" fontId="11" fillId="0" borderId="0" xfId="0" applyFont="1" applyProtection="1">
      <protection locked="0"/>
    </xf>
    <xf numFmtId="0" fontId="16" fillId="0" borderId="0" xfId="0" applyFont="1" applyProtection="1"/>
    <xf numFmtId="0" fontId="2" fillId="0" borderId="0" xfId="0" applyFont="1" applyAlignment="1" applyProtection="1">
      <alignment horizontal="right"/>
      <protection locked="0"/>
    </xf>
    <xf numFmtId="0" fontId="3" fillId="6" borderId="1" xfId="0" applyFont="1" applyFill="1" applyBorder="1" applyProtection="1">
      <protection locked="0"/>
    </xf>
    <xf numFmtId="0" fontId="17" fillId="0" borderId="0" xfId="0" applyFont="1" applyProtection="1"/>
    <xf numFmtId="3" fontId="0" fillId="4" borderId="1" xfId="0" applyNumberFormat="1" applyFill="1" applyBorder="1" applyProtection="1">
      <protection locked="0"/>
    </xf>
    <xf numFmtId="0" fontId="0" fillId="2" borderId="1" xfId="0" applyFill="1" applyBorder="1" applyProtection="1"/>
    <xf numFmtId="165" fontId="2" fillId="2" borderId="1" xfId="0" applyNumberFormat="1" applyFont="1" applyFill="1" applyBorder="1" applyProtection="1"/>
    <xf numFmtId="0" fontId="0" fillId="6" borderId="1" xfId="0" applyFill="1" applyBorder="1" applyProtection="1"/>
    <xf numFmtId="0" fontId="2" fillId="0" borderId="3" xfId="0" applyFont="1" applyBorder="1" applyProtection="1"/>
    <xf numFmtId="0" fontId="0" fillId="0" borderId="4" xfId="0" applyBorder="1" applyAlignment="1" applyProtection="1">
      <alignment horizontal="center"/>
    </xf>
    <xf numFmtId="0" fontId="0" fillId="0" borderId="5" xfId="0" applyBorder="1" applyProtection="1"/>
    <xf numFmtId="0" fontId="0" fillId="0" borderId="10" xfId="0" applyBorder="1" applyProtection="1"/>
    <xf numFmtId="0" fontId="0" fillId="0" borderId="11" xfId="0" applyBorder="1" applyProtection="1"/>
    <xf numFmtId="0" fontId="3" fillId="0" borderId="10" xfId="0" applyFont="1" applyBorder="1" applyProtection="1"/>
    <xf numFmtId="0" fontId="2" fillId="0" borderId="10" xfId="0" applyFont="1" applyBorder="1" applyProtection="1"/>
    <xf numFmtId="3" fontId="0" fillId="0" borderId="0" xfId="0" applyNumberFormat="1" applyBorder="1" applyProtection="1"/>
    <xf numFmtId="0" fontId="3" fillId="0" borderId="10" xfId="0" applyFont="1" applyFill="1" applyBorder="1" applyProtection="1"/>
    <xf numFmtId="0" fontId="2" fillId="0" borderId="10" xfId="0" applyFont="1" applyFill="1" applyBorder="1" applyProtection="1"/>
    <xf numFmtId="0" fontId="0" fillId="0" borderId="6" xfId="0" applyBorder="1" applyProtection="1"/>
    <xf numFmtId="0" fontId="0" fillId="0" borderId="7" xfId="0" applyBorder="1" applyProtection="1"/>
    <xf numFmtId="0" fontId="0" fillId="0" borderId="0" xfId="0" applyBorder="1" applyProtection="1"/>
    <xf numFmtId="0" fontId="2" fillId="0" borderId="3" xfId="0" applyFont="1" applyFill="1" applyBorder="1" applyProtection="1"/>
    <xf numFmtId="0" fontId="0" fillId="0" borderId="4" xfId="0" applyBorder="1" applyProtection="1"/>
    <xf numFmtId="0" fontId="0" fillId="0" borderId="2" xfId="0" applyBorder="1" applyProtection="1">
      <protection locked="0"/>
    </xf>
    <xf numFmtId="3" fontId="0" fillId="6" borderId="1" xfId="0" applyNumberFormat="1" applyFill="1" applyBorder="1" applyProtection="1"/>
    <xf numFmtId="14" fontId="2" fillId="3" borderId="0" xfId="0" applyNumberFormat="1" applyFont="1" applyFill="1"/>
    <xf numFmtId="0" fontId="3" fillId="3" borderId="0" xfId="0" applyFont="1" applyFill="1" applyBorder="1"/>
    <xf numFmtId="167" fontId="3" fillId="3" borderId="0" xfId="1" applyNumberFormat="1" applyFont="1" applyFill="1" applyBorder="1"/>
    <xf numFmtId="165" fontId="0" fillId="3" borderId="0" xfId="1" applyNumberFormat="1" applyFont="1" applyFill="1" applyBorder="1"/>
    <xf numFmtId="165" fontId="0" fillId="3" borderId="0" xfId="0" applyNumberFormat="1" applyFill="1" applyBorder="1"/>
    <xf numFmtId="0" fontId="2" fillId="3" borderId="0" xfId="0" applyFont="1" applyFill="1" applyBorder="1"/>
    <xf numFmtId="0" fontId="3" fillId="3" borderId="1" xfId="0" applyFont="1" applyFill="1" applyBorder="1"/>
    <xf numFmtId="0" fontId="0" fillId="3" borderId="1" xfId="0" applyFill="1" applyBorder="1"/>
    <xf numFmtId="0" fontId="3" fillId="3" borderId="0" xfId="0" applyFont="1" applyFill="1" applyBorder="1" applyAlignment="1">
      <alignment horizontal="right"/>
    </xf>
    <xf numFmtId="165" fontId="0" fillId="3" borderId="1" xfId="1" applyNumberFormat="1" applyFont="1" applyFill="1" applyBorder="1"/>
    <xf numFmtId="165" fontId="3" fillId="3" borderId="1" xfId="1" applyNumberFormat="1" applyFont="1" applyFill="1" applyBorder="1"/>
    <xf numFmtId="9" fontId="0" fillId="3" borderId="0" xfId="0" applyNumberFormat="1" applyFill="1" applyBorder="1" applyAlignment="1">
      <alignment horizontal="right"/>
    </xf>
    <xf numFmtId="0" fontId="2" fillId="3" borderId="1" xfId="0" applyFont="1" applyFill="1" applyBorder="1"/>
    <xf numFmtId="165" fontId="19" fillId="5" borderId="0" xfId="1" applyNumberFormat="1" applyFont="1" applyFill="1" applyProtection="1"/>
    <xf numFmtId="165" fontId="0" fillId="0" borderId="0" xfId="1" applyNumberFormat="1" applyFont="1" applyFill="1" applyProtection="1"/>
    <xf numFmtId="0" fontId="3" fillId="7" borderId="1" xfId="0" applyFont="1" applyFill="1" applyBorder="1" applyProtection="1">
      <protection locked="0"/>
    </xf>
    <xf numFmtId="0" fontId="2" fillId="0" borderId="0" xfId="0" applyFont="1" applyBorder="1" applyProtection="1"/>
    <xf numFmtId="0" fontId="2" fillId="0" borderId="4" xfId="0" applyFont="1" applyFill="1" applyBorder="1" applyProtection="1"/>
    <xf numFmtId="0" fontId="2" fillId="0" borderId="4" xfId="0" applyFont="1" applyBorder="1" applyProtection="1"/>
    <xf numFmtId="166" fontId="2" fillId="7" borderId="1" xfId="0" applyNumberFormat="1" applyFont="1" applyFill="1" applyBorder="1" applyProtection="1"/>
    <xf numFmtId="3" fontId="0" fillId="7" borderId="1" xfId="0" applyNumberFormat="1" applyFill="1" applyBorder="1" applyProtection="1"/>
    <xf numFmtId="3" fontId="2" fillId="7" borderId="1" xfId="0" applyNumberFormat="1" applyFont="1" applyFill="1" applyBorder="1" applyProtection="1"/>
    <xf numFmtId="0" fontId="3" fillId="7" borderId="1" xfId="0" applyFont="1" applyFill="1" applyBorder="1" applyProtection="1"/>
    <xf numFmtId="165" fontId="0" fillId="7" borderId="1" xfId="0" applyNumberFormat="1" applyFill="1" applyBorder="1" applyProtection="1"/>
    <xf numFmtId="3" fontId="3" fillId="7" borderId="1" xfId="0" applyNumberFormat="1" applyFont="1" applyFill="1" applyBorder="1" applyProtection="1"/>
    <xf numFmtId="3" fontId="3" fillId="6" borderId="1" xfId="0" applyNumberFormat="1" applyFont="1" applyFill="1" applyBorder="1" applyProtection="1"/>
    <xf numFmtId="166" fontId="3" fillId="7" borderId="1" xfId="0" applyNumberFormat="1" applyFont="1" applyFill="1" applyBorder="1" applyProtection="1"/>
    <xf numFmtId="0" fontId="5" fillId="0" borderId="0" xfId="0" applyFont="1" applyProtection="1">
      <protection locked="0"/>
    </xf>
    <xf numFmtId="0" fontId="4" fillId="0" borderId="0" xfId="0" applyFont="1" applyProtection="1">
      <protection locked="0"/>
    </xf>
    <xf numFmtId="164" fontId="0" fillId="0" borderId="0" xfId="0" applyNumberFormat="1" applyProtection="1">
      <protection locked="0"/>
    </xf>
    <xf numFmtId="0" fontId="0" fillId="2" borderId="0" xfId="0" applyFill="1" applyProtection="1">
      <protection locked="0"/>
    </xf>
    <xf numFmtId="0" fontId="0" fillId="2" borderId="0" xfId="0" applyFill="1" applyAlignment="1" applyProtection="1">
      <alignment horizontal="left"/>
      <protection locked="0"/>
    </xf>
    <xf numFmtId="2" fontId="0" fillId="0" borderId="0" xfId="0" applyNumberFormat="1" applyProtection="1">
      <protection locked="0"/>
    </xf>
    <xf numFmtId="2" fontId="3" fillId="0" borderId="0" xfId="0" applyNumberFormat="1" applyFont="1" applyProtection="1">
      <protection locked="0"/>
    </xf>
    <xf numFmtId="0" fontId="0" fillId="0" borderId="0" xfId="0" applyFont="1" applyProtection="1">
      <protection locked="0"/>
    </xf>
    <xf numFmtId="9" fontId="0" fillId="0" borderId="0" xfId="0" applyNumberFormat="1" applyFill="1" applyProtection="1">
      <protection locked="0"/>
    </xf>
    <xf numFmtId="0" fontId="20" fillId="0" borderId="0" xfId="0" applyFont="1" applyProtection="1">
      <protection locked="0"/>
    </xf>
    <xf numFmtId="0" fontId="3" fillId="2" borderId="0" xfId="0" applyFont="1" applyFill="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left"/>
      <protection locked="0"/>
    </xf>
    <xf numFmtId="0" fontId="3" fillId="0" borderId="0" xfId="0" applyFont="1" applyAlignment="1" applyProtection="1">
      <alignment horizontal="right"/>
      <protection locked="0"/>
    </xf>
    <xf numFmtId="0" fontId="2" fillId="0" borderId="1" xfId="0" applyFont="1" applyBorder="1" applyProtection="1">
      <protection locked="0"/>
    </xf>
    <xf numFmtId="43" fontId="3" fillId="0" borderId="1" xfId="0" applyNumberFormat="1" applyFont="1" applyBorder="1" applyProtection="1">
      <protection locked="0"/>
    </xf>
    <xf numFmtId="165" fontId="3" fillId="6" borderId="1" xfId="1" applyNumberFormat="1" applyFont="1" applyFill="1" applyBorder="1" applyProtection="1">
      <protection locked="0"/>
    </xf>
    <xf numFmtId="0" fontId="2" fillId="0" borderId="0" xfId="0" applyFont="1" applyAlignment="1" applyProtection="1">
      <alignment horizontal="right" wrapText="1"/>
      <protection locked="0"/>
    </xf>
    <xf numFmtId="0" fontId="3" fillId="0" borderId="0" xfId="0" applyFont="1" applyBorder="1" applyProtection="1">
      <protection locked="0"/>
    </xf>
    <xf numFmtId="165" fontId="3" fillId="0" borderId="0" xfId="1" applyNumberFormat="1" applyFont="1" applyFill="1" applyBorder="1" applyProtection="1">
      <protection locked="0"/>
    </xf>
    <xf numFmtId="0" fontId="16" fillId="0" borderId="0" xfId="0" applyFont="1" applyProtection="1">
      <protection locked="0"/>
    </xf>
    <xf numFmtId="165" fontId="3" fillId="7" borderId="1" xfId="1" applyNumberFormat="1" applyFont="1" applyFill="1" applyBorder="1" applyProtection="1">
      <protection locked="0"/>
    </xf>
    <xf numFmtId="165" fontId="2" fillId="7" borderId="1" xfId="1" applyNumberFormat="1" applyFont="1" applyFill="1" applyBorder="1" applyProtection="1">
      <protection locked="0"/>
    </xf>
    <xf numFmtId="0" fontId="2" fillId="0" borderId="0" xfId="0" applyFont="1" applyAlignment="1" applyProtection="1">
      <alignment horizontal="left" wrapText="1"/>
      <protection locked="0"/>
    </xf>
    <xf numFmtId="0" fontId="2" fillId="0" borderId="0" xfId="0" applyFont="1" applyFill="1" applyBorder="1" applyAlignment="1" applyProtection="1">
      <alignment horizontal="right"/>
      <protection locked="0"/>
    </xf>
    <xf numFmtId="43" fontId="3" fillId="7" borderId="1" xfId="1" applyFont="1" applyFill="1" applyBorder="1" applyProtection="1">
      <protection locked="0"/>
    </xf>
    <xf numFmtId="0" fontId="3" fillId="0" borderId="0" xfId="0" applyFont="1" applyFill="1" applyBorder="1" applyAlignment="1" applyProtection="1">
      <alignment horizontal="right"/>
      <protection locked="0"/>
    </xf>
    <xf numFmtId="43" fontId="2" fillId="7" borderId="1" xfId="1" applyFont="1" applyFill="1" applyBorder="1" applyProtection="1">
      <protection locked="0"/>
    </xf>
    <xf numFmtId="166" fontId="0" fillId="7" borderId="1" xfId="0" applyNumberFormat="1" applyFill="1" applyBorder="1" applyProtection="1"/>
    <xf numFmtId="164" fontId="0" fillId="7" borderId="1" xfId="0" applyNumberFormat="1" applyFill="1" applyBorder="1" applyProtection="1"/>
    <xf numFmtId="9" fontId="21" fillId="7" borderId="1" xfId="3" applyNumberFormat="1" applyFont="1" applyFill="1" applyBorder="1" applyProtection="1"/>
    <xf numFmtId="44" fontId="21" fillId="7" borderId="1" xfId="2" applyFont="1" applyFill="1" applyBorder="1" applyProtection="1"/>
    <xf numFmtId="165" fontId="21" fillId="7" borderId="1" xfId="1" applyNumberFormat="1" applyFont="1" applyFill="1" applyBorder="1" applyAlignment="1" applyProtection="1">
      <alignment horizontal="right"/>
    </xf>
    <xf numFmtId="166" fontId="21" fillId="7" borderId="1" xfId="1" applyNumberFormat="1" applyFont="1" applyFill="1" applyBorder="1" applyAlignment="1" applyProtection="1">
      <alignment horizontal="right"/>
    </xf>
    <xf numFmtId="0" fontId="22" fillId="0" borderId="0" xfId="0" applyFont="1"/>
    <xf numFmtId="0" fontId="24" fillId="0" borderId="0" xfId="0" applyFont="1" applyAlignment="1">
      <alignment vertical="center"/>
    </xf>
    <xf numFmtId="0" fontId="24" fillId="0" borderId="0" xfId="0" applyFont="1"/>
    <xf numFmtId="0" fontId="3" fillId="4" borderId="1" xfId="0" applyFont="1" applyFill="1" applyBorder="1" applyAlignment="1" applyProtection="1">
      <alignment wrapText="1"/>
      <protection locked="0"/>
    </xf>
    <xf numFmtId="0" fontId="3" fillId="4" borderId="1" xfId="0" applyFont="1" applyFill="1" applyBorder="1" applyProtection="1">
      <protection locked="0"/>
    </xf>
    <xf numFmtId="0" fontId="1" fillId="4" borderId="1" xfId="0" applyFont="1" applyFill="1" applyBorder="1" applyProtection="1">
      <protection locked="0"/>
    </xf>
    <xf numFmtId="0" fontId="1" fillId="0" borderId="0" xfId="0" applyFont="1" applyProtection="1">
      <protection locked="0"/>
    </xf>
    <xf numFmtId="0" fontId="1" fillId="6" borderId="1" xfId="0" applyFont="1" applyFill="1" applyBorder="1" applyProtection="1"/>
    <xf numFmtId="0" fontId="1" fillId="4" borderId="1" xfId="0" applyFont="1" applyFill="1" applyBorder="1" applyAlignment="1" applyProtection="1">
      <alignment wrapText="1"/>
      <protection locked="0"/>
    </xf>
    <xf numFmtId="0" fontId="1" fillId="2" borderId="0" xfId="0" applyFont="1" applyFill="1" applyProtection="1"/>
    <xf numFmtId="0" fontId="1" fillId="2" borderId="1" xfId="0" applyFont="1" applyFill="1" applyBorder="1" applyAlignment="1" applyProtection="1">
      <alignment wrapText="1"/>
    </xf>
    <xf numFmtId="43" fontId="1" fillId="6" borderId="1" xfId="1" applyFont="1" applyFill="1" applyBorder="1" applyProtection="1">
      <protection locked="0"/>
    </xf>
    <xf numFmtId="0" fontId="1" fillId="0" borderId="2" xfId="0" applyFont="1" applyBorder="1" applyProtection="1"/>
    <xf numFmtId="15" fontId="0" fillId="0" borderId="2" xfId="0" applyNumberFormat="1" applyBorder="1" applyProtection="1"/>
    <xf numFmtId="0" fontId="1" fillId="0" borderId="0" xfId="0" applyFont="1" applyAlignment="1" applyProtection="1">
      <alignment horizontal="right"/>
      <protection locked="0"/>
    </xf>
    <xf numFmtId="9" fontId="1" fillId="6" borderId="1" xfId="0" applyNumberFormat="1" applyFont="1" applyFill="1" applyBorder="1" applyProtection="1">
      <protection locked="0"/>
    </xf>
    <xf numFmtId="0" fontId="1" fillId="3" borderId="0" xfId="0" applyFont="1" applyFill="1"/>
    <xf numFmtId="165" fontId="0" fillId="3" borderId="1" xfId="0" applyNumberFormat="1" applyFill="1" applyBorder="1"/>
    <xf numFmtId="0" fontId="0" fillId="0" borderId="0" xfId="0" applyAlignment="1" applyProtection="1">
      <alignment horizontal="center"/>
    </xf>
    <xf numFmtId="0" fontId="3" fillId="0" borderId="0" xfId="0" applyFont="1" applyAlignment="1" applyProtection="1">
      <alignment horizontal="left" wrapText="1"/>
    </xf>
    <xf numFmtId="0" fontId="3" fillId="0" borderId="11" xfId="0" applyFont="1" applyBorder="1" applyAlignment="1" applyProtection="1">
      <alignment horizontal="left" wrapText="1"/>
    </xf>
    <xf numFmtId="0" fontId="2" fillId="2" borderId="1" xfId="0" applyFont="1" applyFill="1" applyBorder="1" applyAlignment="1" applyProtection="1">
      <alignment horizontal="center" vertical="center"/>
    </xf>
    <xf numFmtId="0" fontId="0" fillId="0" borderId="0" xfId="0" applyAlignment="1" applyProtection="1">
      <alignment horizontal="left" wrapText="1"/>
    </xf>
    <xf numFmtId="0" fontId="0" fillId="0" borderId="11" xfId="0" applyBorder="1" applyAlignment="1" applyProtection="1">
      <alignment horizontal="left" wrapText="1"/>
    </xf>
    <xf numFmtId="0" fontId="0" fillId="0" borderId="0" xfId="0" applyAlignment="1" applyProtection="1">
      <alignment horizontal="left" vertical="center" wrapText="1"/>
    </xf>
    <xf numFmtId="0" fontId="0" fillId="0" borderId="11" xfId="0" applyBorder="1" applyAlignment="1" applyProtection="1">
      <alignment horizontal="left" vertical="center" wrapText="1"/>
    </xf>
    <xf numFmtId="0" fontId="3" fillId="0" borderId="0" xfId="0" applyFont="1" applyAlignment="1" applyProtection="1">
      <alignment horizontal="left" vertical="center" wrapText="1"/>
    </xf>
    <xf numFmtId="0" fontId="3" fillId="0" borderId="11" xfId="0" applyFont="1" applyBorder="1" applyAlignment="1" applyProtection="1">
      <alignment horizontal="left" vertical="center" wrapText="1"/>
    </xf>
    <xf numFmtId="166" fontId="2" fillId="2" borderId="1" xfId="0" applyNumberFormat="1" applyFont="1" applyFill="1" applyBorder="1" applyAlignment="1" applyProtection="1">
      <alignment horizontal="center" vertical="center"/>
    </xf>
    <xf numFmtId="0" fontId="0" fillId="0" borderId="0" xfId="0" applyAlignment="1" applyProtection="1">
      <alignment wrapText="1"/>
    </xf>
    <xf numFmtId="0" fontId="13" fillId="4" borderId="12" xfId="0" applyFont="1" applyFill="1" applyBorder="1" applyAlignment="1" applyProtection="1">
      <alignment horizontal="left" wrapText="1"/>
      <protection locked="0"/>
    </xf>
    <xf numFmtId="0" fontId="13" fillId="4" borderId="8" xfId="0" applyFont="1" applyFill="1" applyBorder="1" applyAlignment="1" applyProtection="1">
      <alignment horizontal="left" wrapText="1"/>
      <protection locked="0"/>
    </xf>
    <xf numFmtId="0" fontId="13" fillId="4" borderId="9" xfId="0" applyFont="1" applyFill="1" applyBorder="1" applyAlignment="1" applyProtection="1">
      <alignment horizontal="left" wrapText="1"/>
      <protection locked="0"/>
    </xf>
    <xf numFmtId="0" fontId="22" fillId="6" borderId="12" xfId="0" applyFont="1" applyFill="1" applyBorder="1" applyAlignment="1">
      <alignment horizontal="left" wrapText="1"/>
    </xf>
    <xf numFmtId="0" fontId="22" fillId="6" borderId="8" xfId="0" applyFont="1" applyFill="1" applyBorder="1" applyAlignment="1">
      <alignment horizontal="left" wrapText="1"/>
    </xf>
    <xf numFmtId="0" fontId="22" fillId="6" borderId="9" xfId="0" applyFont="1" applyFill="1" applyBorder="1" applyAlignment="1">
      <alignment horizontal="left" wrapText="1"/>
    </xf>
    <xf numFmtId="0" fontId="3" fillId="0" borderId="0" xfId="0" applyFont="1" applyBorder="1" applyAlignment="1" applyProtection="1">
      <alignment horizontal="left" vertical="center" wrapText="1"/>
      <protection locked="0"/>
    </xf>
    <xf numFmtId="0" fontId="1" fillId="4" borderId="12" xfId="0" applyFont="1" applyFill="1" applyBorder="1" applyAlignment="1" applyProtection="1">
      <alignment horizontal="left" wrapText="1"/>
      <protection locked="0"/>
    </xf>
    <xf numFmtId="0" fontId="3" fillId="4" borderId="8" xfId="0" applyFont="1" applyFill="1" applyBorder="1" applyAlignment="1" applyProtection="1">
      <alignment horizontal="left" wrapText="1"/>
      <protection locked="0"/>
    </xf>
    <xf numFmtId="0" fontId="3" fillId="4" borderId="9" xfId="0" applyFont="1" applyFill="1" applyBorder="1" applyAlignment="1" applyProtection="1">
      <alignment horizontal="left" wrapText="1"/>
      <protection locked="0"/>
    </xf>
    <xf numFmtId="0" fontId="2" fillId="0" borderId="0" xfId="0" applyFont="1" applyAlignment="1" applyProtection="1">
      <alignment horizontal="center"/>
    </xf>
  </cellXfs>
  <cellStyles count="4">
    <cellStyle name="Comma" xfId="1" builtinId="3"/>
    <cellStyle name="Currency" xfId="2" builtinId="4"/>
    <cellStyle name="Normal" xfId="0" builtinId="0"/>
    <cellStyle name="Percent" xfId="3" builtinId="5"/>
  </cellStyles>
  <dxfs count="12">
    <dxf>
      <font>
        <b/>
        <i val="0"/>
        <condense val="0"/>
        <extend val="0"/>
      </font>
    </dxf>
    <dxf>
      <fill>
        <patternFill>
          <bgColor indexed="10"/>
        </patternFill>
      </fill>
    </dxf>
    <dxf>
      <fill>
        <patternFill>
          <bgColor indexed="52"/>
        </patternFill>
      </fill>
    </dxf>
    <dxf>
      <fill>
        <patternFill>
          <bgColor indexed="11"/>
        </patternFill>
      </fill>
    </dxf>
    <dxf>
      <fill>
        <patternFill>
          <bgColor indexed="11"/>
        </patternFill>
      </fill>
    </dxf>
    <dxf>
      <fill>
        <patternFill>
          <bgColor indexed="52"/>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5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74</xdr:row>
          <xdr:rowOff>9525</xdr:rowOff>
        </xdr:from>
        <xdr:to>
          <xdr:col>3</xdr:col>
          <xdr:colOff>1714500</xdr:colOff>
          <xdr:row>76</xdr:row>
          <xdr:rowOff>9525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00"/>
                  </a:solidFill>
                  <a:latin typeface="Arial"/>
                  <a:cs typeface="Arial"/>
                </a:rPr>
                <a:t>Print Forms</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371" name="AutoShape 1"/>
        <xdr:cNvSpPr>
          <a:spLocks/>
        </xdr:cNvSpPr>
      </xdr:nvSpPr>
      <xdr:spPr bwMode="auto">
        <a:xfrm>
          <a:off x="284797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0076969.BROOKESMIS\Downloads\2013-14%20Course%20Costing%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E INFORMATION"/>
      <sheetName val="Student Numbers and Fees"/>
      <sheetName val="Staff and Direct Costs"/>
      <sheetName val="University's I&amp;E (full  cost)"/>
      <sheetName val="Faculty I&amp;E"/>
      <sheetName val="Overhead data"/>
      <sheetName val="University's I&amp;E"/>
      <sheetName val="HEFCE Price Banding"/>
    </sheetNames>
    <sheetDataSet>
      <sheetData sheetId="0">
        <row r="7">
          <cell r="D7">
            <v>0</v>
          </cell>
        </row>
        <row r="19">
          <cell r="D19">
            <v>0.6</v>
          </cell>
        </row>
        <row r="20">
          <cell r="D20">
            <v>0.5</v>
          </cell>
        </row>
      </sheetData>
      <sheetData sheetId="1">
        <row r="4">
          <cell r="D4">
            <v>2016</v>
          </cell>
        </row>
      </sheetData>
      <sheetData sheetId="2"/>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5"/>
  <sheetViews>
    <sheetView zoomScale="80" zoomScaleNormal="80" workbookViewId="0">
      <selection activeCell="F4" sqref="F4"/>
    </sheetView>
  </sheetViews>
  <sheetFormatPr defaultRowHeight="12.75" x14ac:dyDescent="0.2"/>
  <cols>
    <col min="1" max="1" width="5.140625" style="6" bestFit="1" customWidth="1"/>
    <col min="2" max="2" width="9.85546875" style="6" customWidth="1"/>
    <col min="3" max="3" width="22" style="6" customWidth="1"/>
    <col min="4" max="4" width="58.5703125" style="6" customWidth="1"/>
    <col min="5" max="5" width="2.5703125" style="6" customWidth="1"/>
    <col min="6" max="6" width="59.5703125" style="6" customWidth="1"/>
    <col min="7" max="16384" width="9.140625" style="6"/>
  </cols>
  <sheetData>
    <row r="1" spans="1:9" ht="18" x14ac:dyDescent="0.25">
      <c r="A1" s="16">
        <v>1</v>
      </c>
      <c r="B1" s="9" t="s">
        <v>54</v>
      </c>
    </row>
    <row r="3" spans="1:9" ht="24" customHeight="1" x14ac:dyDescent="0.2">
      <c r="A3" s="10">
        <v>1.1000000000000001</v>
      </c>
      <c r="B3" s="8" t="s">
        <v>42</v>
      </c>
      <c r="D3" s="184"/>
    </row>
    <row r="4" spans="1:9" s="11" customFormat="1" ht="13.5" x14ac:dyDescent="0.2">
      <c r="A4" s="44"/>
      <c r="B4" s="18"/>
      <c r="D4" s="45"/>
      <c r="I4" s="177"/>
    </row>
    <row r="5" spans="1:9" ht="13.5" x14ac:dyDescent="0.2">
      <c r="A5" s="10">
        <v>1.2</v>
      </c>
      <c r="B5" s="8" t="s">
        <v>155</v>
      </c>
      <c r="D5" s="67" t="s">
        <v>324</v>
      </c>
      <c r="I5" s="178"/>
    </row>
    <row r="6" spans="1:9" x14ac:dyDescent="0.2">
      <c r="A6" s="10"/>
    </row>
    <row r="7" spans="1:9" x14ac:dyDescent="0.2">
      <c r="A7" s="10">
        <v>1.3</v>
      </c>
      <c r="B7" s="8" t="s">
        <v>43</v>
      </c>
      <c r="D7" s="184"/>
    </row>
    <row r="9" spans="1:9" x14ac:dyDescent="0.2">
      <c r="A9" s="6">
        <v>1.4</v>
      </c>
      <c r="B9" s="8" t="s">
        <v>44</v>
      </c>
      <c r="D9" s="67"/>
    </row>
    <row r="10" spans="1:9" x14ac:dyDescent="0.2">
      <c r="B10" s="8"/>
      <c r="D10" s="67"/>
    </row>
    <row r="11" spans="1:9" x14ac:dyDescent="0.2">
      <c r="B11" s="8"/>
      <c r="D11" s="67"/>
    </row>
    <row r="12" spans="1:9" x14ac:dyDescent="0.2">
      <c r="B12" s="8"/>
      <c r="D12" s="67"/>
    </row>
    <row r="13" spans="1:9" x14ac:dyDescent="0.2">
      <c r="B13" s="45"/>
      <c r="C13" s="45"/>
    </row>
    <row r="15" spans="1:9" x14ac:dyDescent="0.2">
      <c r="A15" s="6">
        <v>1.5</v>
      </c>
      <c r="B15" s="8" t="s">
        <v>131</v>
      </c>
    </row>
    <row r="16" spans="1:9" ht="45" customHeight="1" x14ac:dyDescent="0.2">
      <c r="A16" s="6" t="s">
        <v>46</v>
      </c>
      <c r="B16" s="200" t="s">
        <v>142</v>
      </c>
      <c r="C16" s="201"/>
      <c r="D16" s="70">
        <f>+'4.4 Summary I&amp;E (full cost)'!C21+'4.4 Summary I&amp;E (full cost)'!D21+'4.4 Summary I&amp;E (full cost)'!E21+'4.4 Summary I&amp;E (full cost)'!F21</f>
        <v>-3116.1882641903999</v>
      </c>
      <c r="F16" s="6" t="s">
        <v>144</v>
      </c>
    </row>
    <row r="18" spans="1:8" ht="12.75" customHeight="1" x14ac:dyDescent="0.2">
      <c r="A18" s="6" t="s">
        <v>50</v>
      </c>
      <c r="B18" s="198" t="s">
        <v>138</v>
      </c>
      <c r="C18" s="199"/>
      <c r="D18" s="71" t="e">
        <f>+D16/('4.4 Summary I&amp;E (full cost)'!C10+'4.4 Summary I&amp;E (full cost)'!D10+'4.4 Summary I&amp;E (full cost)'!E10+'4.4 Summary I&amp;E (full cost)'!F10)</f>
        <v>#DIV/0!</v>
      </c>
      <c r="F18" s="6" t="s">
        <v>143</v>
      </c>
    </row>
    <row r="20" spans="1:8" ht="12.75" customHeight="1" x14ac:dyDescent="0.2">
      <c r="A20" s="6" t="s">
        <v>129</v>
      </c>
      <c r="B20" s="195" t="s">
        <v>139</v>
      </c>
      <c r="C20" s="196"/>
      <c r="D20" s="197" t="str">
        <f>IF('4.4 Summary I&amp;E (full cost)'!D21&gt;=0,1,IF(('4.4 Summary I&amp;E (full cost)'!D21+'4.4 Summary I&amp;E (full cost)'!E21)&gt;=0,2,IF(('4.4 Summary I&amp;E (full cost)'!D21+'4.4 Summary I&amp;E (full cost)'!E21+'4.4 Summary I&amp;E (full cost)'!F21)&gt;=0,3,IF(('4.4 Summary I&amp;E (full cost)'!D21+'4.4 Summary I&amp;E (full cost)'!E21+'4.4 Summary I&amp;E (full cost)'!F21+'4.4 Summary I&amp;E (full cost)'!G21)&gt;=0,4,IF(('4.4 Summary I&amp;E (full cost)'!D21+'4.4 Summary I&amp;E (full cost)'!E21+'4.4 Summary I&amp;E (full cost)'!F21+'4.4 Summary I&amp;E (full cost)'!G21+'4.4 Summary I&amp;E (full cost)'!J21)&gt;=0,5,"Not within first 5 years")))))</f>
        <v>Not within first 5 years</v>
      </c>
      <c r="F20" s="194"/>
    </row>
    <row r="21" spans="1:8" x14ac:dyDescent="0.2">
      <c r="B21" s="195"/>
      <c r="C21" s="196"/>
      <c r="D21" s="197"/>
      <c r="F21" s="194"/>
    </row>
    <row r="23" spans="1:8" x14ac:dyDescent="0.2">
      <c r="A23" s="6" t="s">
        <v>130</v>
      </c>
      <c r="B23" s="202" t="s">
        <v>141</v>
      </c>
      <c r="C23" s="203"/>
      <c r="D23" s="204">
        <f>+'4.4 Summary I&amp;E (full cost)'!C63+'4.4 Summary I&amp;E (full cost)'!D63+'4.4 Summary I&amp;E (full cost)'!E63+'4.4 Summary I&amp;E (full cost)'!F63</f>
        <v>0</v>
      </c>
      <c r="F23" s="6" t="s">
        <v>140</v>
      </c>
    </row>
    <row r="24" spans="1:8" x14ac:dyDescent="0.2">
      <c r="B24" s="202"/>
      <c r="C24" s="203"/>
      <c r="D24" s="204"/>
    </row>
    <row r="25" spans="1:8" s="46" customFormat="1" x14ac:dyDescent="0.2">
      <c r="B25" s="47"/>
      <c r="C25" s="48"/>
      <c r="D25" s="42"/>
    </row>
    <row r="26" spans="1:8" x14ac:dyDescent="0.2">
      <c r="A26" s="6">
        <v>1.6</v>
      </c>
      <c r="B26" s="8" t="s">
        <v>45</v>
      </c>
    </row>
    <row r="27" spans="1:8" x14ac:dyDescent="0.2">
      <c r="A27" s="6" t="s">
        <v>55</v>
      </c>
      <c r="B27" s="8" t="s">
        <v>47</v>
      </c>
      <c r="F27" s="8" t="s">
        <v>58</v>
      </c>
      <c r="G27" s="49"/>
      <c r="H27" s="49"/>
    </row>
    <row r="28" spans="1:8" x14ac:dyDescent="0.2">
      <c r="B28" s="6" t="s">
        <v>49</v>
      </c>
      <c r="G28" s="50"/>
      <c r="H28" s="50"/>
    </row>
    <row r="29" spans="1:8" ht="24" x14ac:dyDescent="0.2">
      <c r="D29" s="184"/>
      <c r="F29" s="51" t="s">
        <v>48</v>
      </c>
      <c r="G29" s="50"/>
      <c r="H29" s="50"/>
    </row>
    <row r="30" spans="1:8" ht="24" x14ac:dyDescent="0.2">
      <c r="D30" s="67"/>
      <c r="F30" s="52" t="s">
        <v>57</v>
      </c>
      <c r="G30" s="50"/>
      <c r="H30" s="50"/>
    </row>
    <row r="31" spans="1:8" ht="48" x14ac:dyDescent="0.2">
      <c r="D31" s="67"/>
      <c r="F31" s="51" t="s">
        <v>104</v>
      </c>
      <c r="G31" s="50"/>
      <c r="H31" s="50"/>
    </row>
    <row r="32" spans="1:8" x14ac:dyDescent="0.2">
      <c r="D32" s="67"/>
      <c r="F32" s="21"/>
      <c r="G32" s="50"/>
      <c r="H32" s="50"/>
    </row>
    <row r="33" spans="1:8" ht="24.95" customHeight="1" x14ac:dyDescent="0.2">
      <c r="D33" s="184"/>
      <c r="G33" s="50"/>
      <c r="H33" s="50"/>
    </row>
    <row r="34" spans="1:8" s="21" customFormat="1" x14ac:dyDescent="0.2">
      <c r="F34" s="6"/>
      <c r="G34" s="49"/>
      <c r="H34" s="49"/>
    </row>
    <row r="35" spans="1:8" x14ac:dyDescent="0.2">
      <c r="A35" s="6" t="s">
        <v>56</v>
      </c>
      <c r="B35" s="8" t="s">
        <v>51</v>
      </c>
    </row>
    <row r="36" spans="1:8" ht="38.25" customHeight="1" x14ac:dyDescent="0.2">
      <c r="B36" s="205" t="s">
        <v>52</v>
      </c>
      <c r="C36" s="205"/>
      <c r="D36" s="205"/>
    </row>
    <row r="37" spans="1:8" x14ac:dyDescent="0.2">
      <c r="D37" s="186"/>
    </row>
    <row r="39" spans="1:8" ht="42" customHeight="1" x14ac:dyDescent="0.2">
      <c r="B39" s="205" t="s">
        <v>53</v>
      </c>
      <c r="C39" s="205"/>
      <c r="D39" s="205"/>
    </row>
    <row r="40" spans="1:8" x14ac:dyDescent="0.2">
      <c r="D40" s="184"/>
    </row>
    <row r="42" spans="1:8" ht="25.5" customHeight="1" x14ac:dyDescent="0.2">
      <c r="B42" s="198" t="s">
        <v>105</v>
      </c>
      <c r="C42" s="198"/>
      <c r="D42" s="198"/>
    </row>
    <row r="43" spans="1:8" x14ac:dyDescent="0.2">
      <c r="D43" s="179"/>
    </row>
    <row r="45" spans="1:8" x14ac:dyDescent="0.2">
      <c r="B45" s="6" t="s">
        <v>111</v>
      </c>
    </row>
    <row r="47" spans="1:8" x14ac:dyDescent="0.2">
      <c r="A47" s="6">
        <v>1.7</v>
      </c>
      <c r="B47" s="8" t="s">
        <v>59</v>
      </c>
    </row>
    <row r="48" spans="1:8" x14ac:dyDescent="0.2">
      <c r="B48" s="6" t="s">
        <v>60</v>
      </c>
      <c r="C48" s="6" t="s">
        <v>61</v>
      </c>
      <c r="D48" s="184"/>
    </row>
    <row r="49" spans="1:4" x14ac:dyDescent="0.2">
      <c r="C49" s="6" t="s">
        <v>62</v>
      </c>
      <c r="D49" s="184"/>
    </row>
    <row r="51" spans="1:4" x14ac:dyDescent="0.2">
      <c r="B51" s="6" t="s">
        <v>63</v>
      </c>
      <c r="C51" s="6" t="s">
        <v>64</v>
      </c>
      <c r="D51" s="67"/>
    </row>
    <row r="52" spans="1:4" x14ac:dyDescent="0.2">
      <c r="C52" s="6" t="s">
        <v>62</v>
      </c>
      <c r="D52" s="67"/>
    </row>
    <row r="54" spans="1:4" x14ac:dyDescent="0.2">
      <c r="A54" s="6">
        <v>1.8</v>
      </c>
      <c r="B54" s="8" t="s">
        <v>65</v>
      </c>
    </row>
    <row r="55" spans="1:4" ht="26.25" customHeight="1" x14ac:dyDescent="0.2">
      <c r="B55" s="205" t="s">
        <v>106</v>
      </c>
      <c r="C55" s="205"/>
      <c r="D55" s="205"/>
    </row>
    <row r="57" spans="1:4" x14ac:dyDescent="0.2">
      <c r="A57" s="6">
        <v>1.9</v>
      </c>
      <c r="B57" s="8" t="s">
        <v>66</v>
      </c>
    </row>
    <row r="58" spans="1:4" x14ac:dyDescent="0.2">
      <c r="B58" s="53" t="s">
        <v>67</v>
      </c>
      <c r="C58" s="53"/>
      <c r="D58" s="53"/>
    </row>
    <row r="60" spans="1:4" x14ac:dyDescent="0.2">
      <c r="A60" s="13">
        <v>1.1000000000000001</v>
      </c>
      <c r="B60" s="8" t="s">
        <v>68</v>
      </c>
    </row>
    <row r="61" spans="1:4" x14ac:dyDescent="0.2">
      <c r="B61" s="6" t="s">
        <v>156</v>
      </c>
    </row>
    <row r="63" spans="1:4" x14ac:dyDescent="0.2">
      <c r="A63" s="6">
        <v>1.1100000000000001</v>
      </c>
      <c r="B63" s="8" t="s">
        <v>69</v>
      </c>
    </row>
    <row r="64" spans="1:4" ht="54" customHeight="1" x14ac:dyDescent="0.2">
      <c r="B64" s="198" t="s">
        <v>112</v>
      </c>
      <c r="C64" s="198"/>
      <c r="D64" s="198"/>
    </row>
    <row r="66" spans="1:4" x14ac:dyDescent="0.2">
      <c r="A66" s="6">
        <v>1.1200000000000001</v>
      </c>
      <c r="B66" s="8" t="s">
        <v>157</v>
      </c>
    </row>
    <row r="67" spans="1:4" x14ac:dyDescent="0.2">
      <c r="B67" s="6" t="s">
        <v>159</v>
      </c>
    </row>
    <row r="69" spans="1:4" x14ac:dyDescent="0.2">
      <c r="B69" s="6" t="s">
        <v>70</v>
      </c>
      <c r="D69" s="188"/>
    </row>
    <row r="73" spans="1:4" x14ac:dyDescent="0.2">
      <c r="B73" s="6" t="s">
        <v>71</v>
      </c>
      <c r="D73" s="54"/>
    </row>
    <row r="75" spans="1:4" x14ac:dyDescent="0.2">
      <c r="B75" s="6" t="s">
        <v>72</v>
      </c>
      <c r="D75" s="189"/>
    </row>
    <row r="82" spans="2:2" x14ac:dyDescent="0.2">
      <c r="B82" s="6" t="s">
        <v>137</v>
      </c>
    </row>
    <row r="83" spans="2:2" x14ac:dyDescent="0.2">
      <c r="B83" s="6" t="s">
        <v>158</v>
      </c>
    </row>
    <row r="84" spans="2:2" x14ac:dyDescent="0.2">
      <c r="B84" s="6" t="s">
        <v>136</v>
      </c>
    </row>
    <row r="85" spans="2:2" x14ac:dyDescent="0.2">
      <c r="B85" s="6" t="s">
        <v>135</v>
      </c>
    </row>
  </sheetData>
  <mergeCells count="12">
    <mergeCell ref="B23:C24"/>
    <mergeCell ref="D23:D24"/>
    <mergeCell ref="B64:D64"/>
    <mergeCell ref="B36:D36"/>
    <mergeCell ref="B39:D39"/>
    <mergeCell ref="B55:D55"/>
    <mergeCell ref="B42:D42"/>
    <mergeCell ref="F20:F21"/>
    <mergeCell ref="B20:C21"/>
    <mergeCell ref="D20:D21"/>
    <mergeCell ref="B18:C18"/>
    <mergeCell ref="B16:C16"/>
  </mergeCells>
  <phoneticPr fontId="0" type="noConversion"/>
  <conditionalFormatting sqref="D20:D21">
    <cfRule type="cellIs" dxfId="11" priority="1" stopIfTrue="1" operator="lessThanOrEqual">
      <formula>3</formula>
    </cfRule>
    <cfRule type="cellIs" dxfId="10" priority="2" stopIfTrue="1" operator="equal">
      <formula>4</formula>
    </cfRule>
    <cfRule type="cellIs" dxfId="9" priority="3" stopIfTrue="1" operator="greaterThanOrEqual">
      <formula>5</formula>
    </cfRule>
  </conditionalFormatting>
  <conditionalFormatting sqref="D23:D24">
    <cfRule type="cellIs" dxfId="8" priority="4" stopIfTrue="1" operator="greaterThanOrEqual">
      <formula>0</formula>
    </cfRule>
    <cfRule type="cellIs" dxfId="7" priority="5" stopIfTrue="1" operator="lessThanOrEqual">
      <formula>1</formula>
    </cfRule>
  </conditionalFormatting>
  <conditionalFormatting sqref="D18">
    <cfRule type="cellIs" dxfId="6" priority="6" stopIfTrue="1" operator="lessThan">
      <formula>0.2</formula>
    </cfRule>
    <cfRule type="cellIs" dxfId="5" priority="7" stopIfTrue="1" operator="between">
      <formula>0.2</formula>
      <formula>0.45</formula>
    </cfRule>
    <cfRule type="cellIs" dxfId="4" priority="8" stopIfTrue="1" operator="greaterThan">
      <formula>0.45</formula>
    </cfRule>
  </conditionalFormatting>
  <conditionalFormatting sqref="D16">
    <cfRule type="cellIs" dxfId="3" priority="9" stopIfTrue="1" operator="greaterThan">
      <formula>150000</formula>
    </cfRule>
    <cfRule type="cellIs" dxfId="2" priority="10" stopIfTrue="1" operator="between">
      <formula>0</formula>
      <formula>150000</formula>
    </cfRule>
    <cfRule type="cellIs" dxfId="1" priority="11" stopIfTrue="1" operator="lessThan">
      <formula>0</formula>
    </cfRule>
  </conditionalFormatting>
  <dataValidations count="1">
    <dataValidation type="list" allowBlank="1" showInputMessage="1" showErrorMessage="1" sqref="D5">
      <formula1>"FOB, HLS, HSS, TDE"</formula1>
    </dataValidation>
  </dataValidations>
  <printOptions gridLines="1"/>
  <pageMargins left="0.75" right="0.75" top="1" bottom="1" header="0.5" footer="0.5"/>
  <pageSetup paperSize="9" scale="55" orientation="portrait" r:id="rId1"/>
  <headerFooter alignWithMargins="0">
    <oddHeader>&amp;C&amp;"Arial,Bold"&amp;14&amp;F</oddHead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Button 5">
              <controlPr locked="0" defaultSize="0" print="0" autoFill="0" autoPict="0" macro="[0]!Print1">
                <anchor moveWithCells="1">
                  <from>
                    <xdr:col>3</xdr:col>
                    <xdr:colOff>114300</xdr:colOff>
                    <xdr:row>74</xdr:row>
                    <xdr:rowOff>9525</xdr:rowOff>
                  </from>
                  <to>
                    <xdr:col>3</xdr:col>
                    <xdr:colOff>1714500</xdr:colOff>
                    <xdr:row>76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E33"/>
  <sheetViews>
    <sheetView zoomScaleNormal="100" workbookViewId="0">
      <selection activeCell="C3" sqref="C3"/>
    </sheetView>
  </sheetViews>
  <sheetFormatPr defaultRowHeight="12.75" x14ac:dyDescent="0.2"/>
  <cols>
    <col min="1" max="1" width="6.140625" style="1" customWidth="1"/>
    <col min="2" max="2" width="60.5703125" style="1" customWidth="1"/>
    <col min="3" max="3" width="22" style="1" customWidth="1"/>
    <col min="4" max="4" width="50.42578125" style="1" bestFit="1" customWidth="1"/>
    <col min="5" max="5" width="9.42578125" style="1" customWidth="1"/>
    <col min="6" max="16384" width="9.140625" style="1"/>
  </cols>
  <sheetData>
    <row r="1" spans="1:5" ht="18" x14ac:dyDescent="0.25">
      <c r="A1" s="142">
        <v>4.0999999999999996</v>
      </c>
      <c r="B1" s="143" t="s">
        <v>73</v>
      </c>
    </row>
    <row r="2" spans="1:5" x14ac:dyDescent="0.2">
      <c r="B2" s="22"/>
    </row>
    <row r="3" spans="1:5" x14ac:dyDescent="0.2">
      <c r="B3" s="1" t="s">
        <v>26</v>
      </c>
      <c r="C3" s="55" t="s">
        <v>325</v>
      </c>
    </row>
    <row r="4" spans="1:5" x14ac:dyDescent="0.2">
      <c r="A4" s="144" t="s">
        <v>74</v>
      </c>
      <c r="B4" s="22" t="s">
        <v>154</v>
      </c>
      <c r="C4" s="145" t="str">
        <f>+'1. Summary Data'!D5</f>
        <v>FOB</v>
      </c>
    </row>
    <row r="5" spans="1:5" x14ac:dyDescent="0.2">
      <c r="B5" s="22"/>
      <c r="C5" s="3"/>
    </row>
    <row r="6" spans="1:5" x14ac:dyDescent="0.2">
      <c r="B6" s="22" t="s">
        <v>0</v>
      </c>
      <c r="C6" s="3"/>
    </row>
    <row r="7" spans="1:5" x14ac:dyDescent="0.2">
      <c r="A7" s="1" t="s">
        <v>75</v>
      </c>
      <c r="B7" s="60" t="s">
        <v>42</v>
      </c>
      <c r="C7" s="146">
        <f>+'1. Summary Data'!D3</f>
        <v>0</v>
      </c>
      <c r="D7" s="145"/>
      <c r="E7" s="3"/>
    </row>
    <row r="8" spans="1:5" x14ac:dyDescent="0.2">
      <c r="A8" s="1" t="s">
        <v>76</v>
      </c>
      <c r="B8" s="60" t="s">
        <v>107</v>
      </c>
      <c r="C8" s="181"/>
      <c r="D8" s="3"/>
      <c r="E8" s="3"/>
    </row>
    <row r="9" spans="1:5" x14ac:dyDescent="0.2">
      <c r="A9" s="1" t="s">
        <v>77</v>
      </c>
      <c r="B9" s="60" t="s">
        <v>96</v>
      </c>
      <c r="C9" s="65"/>
      <c r="E9" s="3"/>
    </row>
    <row r="10" spans="1:5" x14ac:dyDescent="0.2">
      <c r="A10" s="1" t="s">
        <v>78</v>
      </c>
      <c r="B10" s="60" t="s">
        <v>108</v>
      </c>
      <c r="C10" s="180"/>
      <c r="D10" s="60"/>
      <c r="E10" s="3"/>
    </row>
    <row r="11" spans="1:5" s="19" customFormat="1" x14ac:dyDescent="0.2">
      <c r="B11" s="63"/>
      <c r="C11" s="57"/>
    </row>
    <row r="12" spans="1:5" x14ac:dyDescent="0.2">
      <c r="A12" s="1" t="s">
        <v>79</v>
      </c>
      <c r="B12" s="60" t="s">
        <v>109</v>
      </c>
      <c r="C12" s="65"/>
      <c r="E12" s="3"/>
    </row>
    <row r="13" spans="1:5" x14ac:dyDescent="0.2">
      <c r="A13" s="144" t="s">
        <v>80</v>
      </c>
      <c r="B13" s="60" t="s">
        <v>134</v>
      </c>
      <c r="C13" s="65"/>
    </row>
    <row r="14" spans="1:5" x14ac:dyDescent="0.2">
      <c r="A14" s="147" t="s">
        <v>81</v>
      </c>
      <c r="B14" s="60" t="s">
        <v>162</v>
      </c>
      <c r="C14" s="65"/>
    </row>
    <row r="15" spans="1:5" x14ac:dyDescent="0.2">
      <c r="A15" s="147" t="s">
        <v>82</v>
      </c>
      <c r="B15" s="1" t="s">
        <v>1</v>
      </c>
      <c r="C15" s="65"/>
    </row>
    <row r="16" spans="1:5" x14ac:dyDescent="0.2">
      <c r="A16" s="148" t="s">
        <v>197</v>
      </c>
      <c r="B16" s="149" t="s">
        <v>204</v>
      </c>
      <c r="C16" s="181"/>
      <c r="D16" s="60"/>
    </row>
    <row r="17" spans="1:4" x14ac:dyDescent="0.2">
      <c r="A17" s="148" t="s">
        <v>86</v>
      </c>
      <c r="B17" s="1" t="s">
        <v>110</v>
      </c>
      <c r="C17" s="65"/>
    </row>
    <row r="18" spans="1:4" s="19" customFormat="1" x14ac:dyDescent="0.2">
      <c r="A18" s="148" t="s">
        <v>87</v>
      </c>
      <c r="B18" s="1" t="s">
        <v>132</v>
      </c>
      <c r="C18" s="181"/>
      <c r="D18" s="1"/>
    </row>
    <row r="19" spans="1:4" x14ac:dyDescent="0.2">
      <c r="A19" s="148"/>
      <c r="B19" s="19"/>
      <c r="C19" s="57"/>
      <c r="D19" s="19"/>
    </row>
    <row r="20" spans="1:4" x14ac:dyDescent="0.2">
      <c r="A20" s="182" t="s">
        <v>88</v>
      </c>
      <c r="B20" s="22" t="s">
        <v>113</v>
      </c>
    </row>
    <row r="21" spans="1:4" x14ac:dyDescent="0.2">
      <c r="B21" s="1" t="s">
        <v>2</v>
      </c>
      <c r="C21" s="84">
        <v>1</v>
      </c>
      <c r="D21" s="1" t="s">
        <v>24</v>
      </c>
    </row>
    <row r="22" spans="1:4" x14ac:dyDescent="0.2">
      <c r="B22" s="1" t="s">
        <v>3</v>
      </c>
      <c r="C22" s="66">
        <v>0.5</v>
      </c>
      <c r="D22" s="1" t="s">
        <v>114</v>
      </c>
    </row>
    <row r="23" spans="1:4" x14ac:dyDescent="0.2">
      <c r="B23" s="1" t="s">
        <v>13</v>
      </c>
      <c r="C23" s="84">
        <v>0.5</v>
      </c>
      <c r="D23" s="1" t="s">
        <v>24</v>
      </c>
    </row>
    <row r="24" spans="1:4" x14ac:dyDescent="0.2">
      <c r="A24" s="182" t="s">
        <v>160</v>
      </c>
      <c r="B24" s="22" t="s">
        <v>30</v>
      </c>
      <c r="C24" s="3"/>
    </row>
    <row r="25" spans="1:4" x14ac:dyDescent="0.2">
      <c r="B25" s="1" t="s">
        <v>25</v>
      </c>
      <c r="C25" s="85">
        <v>0.3</v>
      </c>
    </row>
    <row r="26" spans="1:4" x14ac:dyDescent="0.2">
      <c r="C26" s="150"/>
    </row>
    <row r="27" spans="1:4" x14ac:dyDescent="0.2">
      <c r="B27" s="151" t="str">
        <f>IF($C$15="Postgraduate","PG","UG")&amp;" "&amp;$C$16</f>
        <v xml:space="preserve">UG </v>
      </c>
      <c r="C27" s="129"/>
    </row>
    <row r="28" spans="1:4" x14ac:dyDescent="0.2">
      <c r="A28" s="182" t="s">
        <v>161</v>
      </c>
      <c r="B28" s="22" t="s">
        <v>196</v>
      </c>
      <c r="C28" s="6"/>
    </row>
    <row r="29" spans="1:4" x14ac:dyDescent="0.2">
      <c r="B29" s="149" t="s">
        <v>286</v>
      </c>
      <c r="C29" s="128">
        <v>1500</v>
      </c>
    </row>
    <row r="30" spans="1:4" x14ac:dyDescent="0.2">
      <c r="B30" s="149" t="s">
        <v>287</v>
      </c>
      <c r="C30" s="128">
        <f>1500+1100</f>
        <v>2600</v>
      </c>
    </row>
    <row r="31" spans="1:4" x14ac:dyDescent="0.2">
      <c r="B31" s="60" t="s">
        <v>288</v>
      </c>
      <c r="C31" s="128">
        <v>250</v>
      </c>
    </row>
    <row r="32" spans="1:4" x14ac:dyDescent="0.2">
      <c r="B32" s="60" t="s">
        <v>289</v>
      </c>
      <c r="C32" s="128">
        <f>1100+250</f>
        <v>1350</v>
      </c>
    </row>
    <row r="33" spans="2:3" x14ac:dyDescent="0.2">
      <c r="B33" s="60" t="s">
        <v>290</v>
      </c>
      <c r="C33" s="128">
        <v>1100</v>
      </c>
    </row>
  </sheetData>
  <phoneticPr fontId="0" type="noConversion"/>
  <dataValidations xWindow="367" yWindow="202" count="10">
    <dataValidation type="list" allowBlank="1" showErrorMessage="1" promptTitle="University taught courses" prompt="This cell is to indicate whether this is a University based or off-site course." sqref="C14">
      <formula1>"Yes - Onsite, No - Offsite"</formula1>
    </dataValidation>
    <dataValidation type="list" allowBlank="1" showErrorMessage="1" promptTitle="Level of the course" prompt="Pick from list" sqref="C15">
      <formula1>"Foundation,Undergraduate,Postgraduate"</formula1>
    </dataValidation>
    <dataValidation type="list" allowBlank="1" showInputMessage="1" showErrorMessage="1" promptTitle="Old school" prompt="Pick from list" sqref="C5">
      <formula1>"AH,BE,BUS,HC,LS,SSL,TE,WIE"</formula1>
    </dataValidation>
    <dataValidation allowBlank="1" showInputMessage="1" showErrorMessage="1" promptTitle="Name of course" prompt="Please type name of course" sqref="C7"/>
    <dataValidation type="list" allowBlank="1" showErrorMessage="1" promptTitle="Start Year of Course" prompt="Please select a Year" sqref="C8">
      <formula1>"2016-17, 2017-18, 2018-17"</formula1>
    </dataValidation>
    <dataValidation type="list" allowBlank="1" showErrorMessage="1" promptTitle="HEFCE Price group" prompt="Which of the published HEFCE price groups will this fall within." sqref="C17 C19">
      <formula1>"Enrolled,Registered"</formula1>
    </dataValidation>
    <dataValidation type="list" allowBlank="1" showInputMessage="1" showErrorMessage="1" sqref="C12">
      <formula1>"New, Revalidation"</formula1>
    </dataValidation>
    <dataValidation type="list" allowBlank="1" showInputMessage="1" showErrorMessage="1" sqref="C13">
      <formula1>"Home/EU, International"</formula1>
    </dataValidation>
    <dataValidation type="list" allowBlank="1" showErrorMessage="1" promptTitle="HEFCE Price group" prompt="Which of the published HEFCE price groups will this fall within." sqref="C18">
      <formula1>"Yes, No"</formula1>
    </dataValidation>
    <dataValidation type="list" allowBlank="1" showInputMessage="1" showErrorMessage="1" promptTitle="Level of the course" prompt="Pick from list" sqref="C16">
      <formula1>"B,C1,C2,D,N/A"</formula1>
    </dataValidation>
  </dataValidations>
  <printOptions gridLines="1"/>
  <pageMargins left="0.75" right="0.75" top="1" bottom="1" header="0.5" footer="0.5"/>
  <pageSetup paperSize="9" scale="63" orientation="portrait" r:id="rId1"/>
  <headerFooter alignWithMargins="0">
    <oddHeader>&amp;C&amp;"Arial,Bold"&amp;14&amp;F</oddHeader>
    <oddFooter>&amp;R&amp;P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O128"/>
  <sheetViews>
    <sheetView zoomScaleNormal="100" workbookViewId="0">
      <pane xSplit="2" ySplit="5" topLeftCell="C27" activePane="bottomRight" state="frozen"/>
      <selection activeCell="F14" sqref="F14"/>
      <selection pane="topRight" activeCell="F14" sqref="F14"/>
      <selection pane="bottomLeft" activeCell="F14" sqref="F14"/>
      <selection pane="bottomRight" activeCell="H45" sqref="H45"/>
    </sheetView>
  </sheetViews>
  <sheetFormatPr defaultRowHeight="12.75" x14ac:dyDescent="0.2"/>
  <cols>
    <col min="1" max="1" width="5.28515625" style="60" bestFit="1" customWidth="1"/>
    <col min="2" max="2" width="30.28515625" style="60" customWidth="1"/>
    <col min="3" max="3" width="12.140625" style="60" customWidth="1"/>
    <col min="4" max="8" width="11.140625" style="60" customWidth="1"/>
    <col min="9" max="9" width="4.7109375" style="60" bestFit="1" customWidth="1"/>
    <col min="10" max="10" width="13.42578125" style="60" customWidth="1"/>
    <col min="11" max="11" width="8.5703125" style="60" customWidth="1"/>
    <col min="12" max="16384" width="9.140625" style="60"/>
  </cols>
  <sheetData>
    <row r="1" spans="1:15" x14ac:dyDescent="0.2">
      <c r="A1" s="58">
        <v>4.2</v>
      </c>
      <c r="B1" s="59" t="s">
        <v>94</v>
      </c>
      <c r="C1" s="59"/>
    </row>
    <row r="2" spans="1:15" ht="15.75" x14ac:dyDescent="0.25">
      <c r="A2" s="58"/>
      <c r="B2" s="79"/>
      <c r="C2" s="79"/>
    </row>
    <row r="3" spans="1:15" x14ac:dyDescent="0.2">
      <c r="B3" s="22" t="s">
        <v>195</v>
      </c>
      <c r="C3" s="22"/>
      <c r="D3" s="152">
        <f>+'4.1 FA - Basic Info'!C7</f>
        <v>0</v>
      </c>
      <c r="E3" s="152"/>
    </row>
    <row r="4" spans="1:15" s="61" customFormat="1" x14ac:dyDescent="0.2">
      <c r="B4" s="55"/>
      <c r="C4" s="55"/>
    </row>
    <row r="5" spans="1:15" ht="25.5" x14ac:dyDescent="0.2">
      <c r="B5" s="22" t="s">
        <v>40</v>
      </c>
      <c r="C5" s="153" t="s">
        <v>293</v>
      </c>
      <c r="D5" s="91" t="str">
        <f>'4.1 FA - Basic Info'!C3</f>
        <v>2017-18</v>
      </c>
      <c r="E5" s="91" t="str">
        <f>IF(D5="2017-18","2018-19",IF(D5="2018-19","2019-20",)*FALSE)</f>
        <v>2018-19</v>
      </c>
      <c r="F5" s="91" t="str">
        <f>IF(E5="2018-19","2019-20",IF(E5="2019-20","2020-21",)*FALSE)</f>
        <v>2019-20</v>
      </c>
      <c r="G5" s="91" t="str">
        <f>IF(F5="2019-20","2020-21",IF(F5="2020-21","2021-22",)*FALSE)</f>
        <v>2020-21</v>
      </c>
      <c r="H5" s="91" t="str">
        <f>IF(G5="2020-21","2021-22",IF(G5="2021-22","2022-23",)*FALSE)</f>
        <v>2021-22</v>
      </c>
      <c r="K5" s="22"/>
      <c r="L5" s="22"/>
      <c r="M5" s="22"/>
      <c r="N5" s="22"/>
      <c r="O5" s="22"/>
    </row>
    <row r="6" spans="1:15" x14ac:dyDescent="0.2">
      <c r="A6" s="60" t="s">
        <v>83</v>
      </c>
      <c r="B6" s="22" t="s">
        <v>164</v>
      </c>
      <c r="C6" s="22"/>
      <c r="I6" s="22"/>
      <c r="J6" s="22"/>
    </row>
    <row r="7" spans="1:15" x14ac:dyDescent="0.2">
      <c r="B7" s="154" t="s">
        <v>165</v>
      </c>
      <c r="C7" s="154"/>
      <c r="J7" s="182" t="s">
        <v>320</v>
      </c>
    </row>
    <row r="8" spans="1:15" x14ac:dyDescent="0.2">
      <c r="B8" s="155" t="s">
        <v>97</v>
      </c>
      <c r="C8" s="155"/>
      <c r="D8" s="92"/>
      <c r="E8" s="92"/>
      <c r="F8" s="92"/>
      <c r="G8" s="92"/>
      <c r="H8" s="92"/>
      <c r="J8" s="191">
        <v>0.1</v>
      </c>
    </row>
    <row r="9" spans="1:15" x14ac:dyDescent="0.2">
      <c r="B9" s="155" t="s">
        <v>98</v>
      </c>
      <c r="C9" s="155"/>
      <c r="D9" s="92"/>
      <c r="E9" s="92">
        <f>INT(D8*(1-$J$8))</f>
        <v>0</v>
      </c>
      <c r="F9" s="92">
        <f t="shared" ref="F9:H10" si="0">INT(E8*(1-$J$8))</f>
        <v>0</v>
      </c>
      <c r="G9" s="92">
        <f t="shared" si="0"/>
        <v>0</v>
      </c>
      <c r="H9" s="92">
        <f t="shared" si="0"/>
        <v>0</v>
      </c>
    </row>
    <row r="10" spans="1:15" x14ac:dyDescent="0.2">
      <c r="B10" s="190" t="s">
        <v>174</v>
      </c>
      <c r="C10" s="155"/>
      <c r="D10" s="92"/>
      <c r="E10" s="92"/>
      <c r="F10" s="92">
        <f t="shared" si="0"/>
        <v>0</v>
      </c>
      <c r="G10" s="92">
        <f t="shared" si="0"/>
        <v>0</v>
      </c>
      <c r="H10" s="92">
        <f t="shared" si="0"/>
        <v>0</v>
      </c>
    </row>
    <row r="11" spans="1:15" x14ac:dyDescent="0.2">
      <c r="B11" s="91" t="s">
        <v>166</v>
      </c>
      <c r="C11" s="91"/>
      <c r="D11" s="156">
        <f>SUM(D8:D9)</f>
        <v>0</v>
      </c>
      <c r="E11" s="156">
        <f>SUM(E8:E9)</f>
        <v>0</v>
      </c>
      <c r="F11" s="156">
        <f>SUM(F8:F9)</f>
        <v>0</v>
      </c>
      <c r="G11" s="156">
        <f>SUM(G8:G9)</f>
        <v>0</v>
      </c>
      <c r="H11" s="156">
        <f>SUM(H8:H9)</f>
        <v>0</v>
      </c>
      <c r="J11" s="182"/>
    </row>
    <row r="12" spans="1:15" x14ac:dyDescent="0.2">
      <c r="B12" s="22"/>
      <c r="C12" s="22"/>
    </row>
    <row r="13" spans="1:15" x14ac:dyDescent="0.2">
      <c r="B13" s="155" t="s">
        <v>97</v>
      </c>
      <c r="C13" s="155"/>
      <c r="D13" s="92"/>
      <c r="E13" s="92"/>
      <c r="F13" s="92"/>
      <c r="G13" s="92"/>
      <c r="H13" s="92"/>
    </row>
    <row r="14" spans="1:15" x14ac:dyDescent="0.2">
      <c r="B14" s="155" t="s">
        <v>98</v>
      </c>
      <c r="C14" s="155"/>
      <c r="D14" s="92"/>
      <c r="E14" s="92">
        <f>INT(D13*(1-$J$8))</f>
        <v>0</v>
      </c>
      <c r="F14" s="92">
        <f t="shared" ref="F14:H17" si="1">INT(E13*(1-$J$8))</f>
        <v>0</v>
      </c>
      <c r="G14" s="92">
        <f t="shared" si="1"/>
        <v>0</v>
      </c>
      <c r="H14" s="92">
        <f t="shared" si="1"/>
        <v>0</v>
      </c>
    </row>
    <row r="15" spans="1:15" x14ac:dyDescent="0.2">
      <c r="B15" s="155" t="s">
        <v>99</v>
      </c>
      <c r="C15" s="155"/>
      <c r="D15" s="92"/>
      <c r="E15" s="92"/>
      <c r="F15" s="92">
        <f t="shared" si="1"/>
        <v>0</v>
      </c>
      <c r="G15" s="92">
        <f t="shared" si="1"/>
        <v>0</v>
      </c>
      <c r="H15" s="92">
        <f t="shared" si="1"/>
        <v>0</v>
      </c>
    </row>
    <row r="16" spans="1:15" x14ac:dyDescent="0.2">
      <c r="B16" s="155" t="s">
        <v>100</v>
      </c>
      <c r="C16" s="155"/>
      <c r="D16" s="92"/>
      <c r="E16" s="92"/>
      <c r="F16" s="92"/>
      <c r="G16" s="92">
        <f t="shared" si="1"/>
        <v>0</v>
      </c>
      <c r="H16" s="92">
        <f t="shared" si="1"/>
        <v>0</v>
      </c>
    </row>
    <row r="17" spans="1:8" x14ac:dyDescent="0.2">
      <c r="B17" s="155" t="s">
        <v>101</v>
      </c>
      <c r="C17" s="155"/>
      <c r="D17" s="92"/>
      <c r="E17" s="92"/>
      <c r="F17" s="92"/>
      <c r="G17" s="92"/>
      <c r="H17" s="92">
        <f t="shared" si="1"/>
        <v>0</v>
      </c>
    </row>
    <row r="18" spans="1:8" x14ac:dyDescent="0.2">
      <c r="B18" s="155" t="s">
        <v>163</v>
      </c>
      <c r="C18" s="155"/>
      <c r="D18" s="92"/>
      <c r="E18" s="92"/>
      <c r="F18" s="92"/>
      <c r="G18" s="92"/>
      <c r="H18" s="92"/>
    </row>
    <row r="19" spans="1:8" x14ac:dyDescent="0.2">
      <c r="B19" s="91" t="s">
        <v>167</v>
      </c>
      <c r="C19" s="91"/>
      <c r="D19" s="156">
        <f>SUM(D13:D18)</f>
        <v>0</v>
      </c>
      <c r="E19" s="156">
        <f>SUM(E13:E18)</f>
        <v>0</v>
      </c>
      <c r="F19" s="156">
        <f>SUM(F13:F18)</f>
        <v>0</v>
      </c>
      <c r="G19" s="156">
        <f>SUM(G13:G18)</f>
        <v>0</v>
      </c>
      <c r="H19" s="156">
        <f>SUM(H13:H18)</f>
        <v>0</v>
      </c>
    </row>
    <row r="20" spans="1:8" x14ac:dyDescent="0.2">
      <c r="B20" s="155" t="s">
        <v>168</v>
      </c>
      <c r="C20" s="155"/>
      <c r="D20" s="92"/>
      <c r="E20" s="92"/>
      <c r="F20" s="92"/>
      <c r="G20" s="92"/>
      <c r="H20" s="92"/>
    </row>
    <row r="21" spans="1:8" x14ac:dyDescent="0.2">
      <c r="B21" s="155" t="s">
        <v>169</v>
      </c>
      <c r="C21" s="155"/>
      <c r="D21" s="92"/>
      <c r="E21" s="92"/>
      <c r="F21" s="92"/>
      <c r="G21" s="92"/>
      <c r="H21" s="92"/>
    </row>
    <row r="22" spans="1:8" x14ac:dyDescent="0.2">
      <c r="B22" s="91" t="s">
        <v>170</v>
      </c>
      <c r="C22" s="91"/>
      <c r="D22" s="157">
        <f>+D11+(D19*'[1]COURSE INFORMATION'!$D$19)+(D20*'[1]COURSE INFORMATION'!$D$20)</f>
        <v>0</v>
      </c>
      <c r="E22" s="157">
        <f>+E11+(E19*'[1]COURSE INFORMATION'!$D$19)+(E20*'[1]COURSE INFORMATION'!$D$20)</f>
        <v>0</v>
      </c>
      <c r="F22" s="157">
        <f>+F11+(F19*'[1]COURSE INFORMATION'!$D$19)+(F20*'[1]COURSE INFORMATION'!$D$20)</f>
        <v>0</v>
      </c>
      <c r="G22" s="157">
        <f>+G11+(G19*'[1]COURSE INFORMATION'!$D$19)+(G20*'[1]COURSE INFORMATION'!$D$20)</f>
        <v>0</v>
      </c>
      <c r="H22" s="157">
        <f>+H11+(H19*'[1]COURSE INFORMATION'!$D$19)+(H20*'[1]COURSE INFORMATION'!$D$20)</f>
        <v>0</v>
      </c>
    </row>
    <row r="23" spans="1:8" x14ac:dyDescent="0.2">
      <c r="B23" s="91"/>
      <c r="C23" s="91"/>
    </row>
    <row r="24" spans="1:8" x14ac:dyDescent="0.2">
      <c r="A24" s="60" t="s">
        <v>84</v>
      </c>
      <c r="B24" s="154" t="s">
        <v>171</v>
      </c>
      <c r="C24" s="154"/>
    </row>
    <row r="25" spans="1:8" x14ac:dyDescent="0.2">
      <c r="B25" s="155" t="s">
        <v>172</v>
      </c>
      <c r="C25" s="155"/>
      <c r="D25" s="92"/>
      <c r="E25" s="92"/>
      <c r="F25" s="92"/>
      <c r="G25" s="92"/>
      <c r="H25" s="92"/>
    </row>
    <row r="26" spans="1:8" x14ac:dyDescent="0.2">
      <c r="B26" s="155" t="s">
        <v>173</v>
      </c>
      <c r="C26" s="155"/>
      <c r="D26" s="92"/>
      <c r="E26" s="92">
        <f>INT(D25*(1-$J$8))</f>
        <v>0</v>
      </c>
      <c r="F26" s="92">
        <f t="shared" ref="F26:F27" si="2">INT(E25*(1-$J$8))</f>
        <v>0</v>
      </c>
      <c r="G26" s="92">
        <f t="shared" ref="G26:G27" si="3">INT(F25*(1-$J$8))</f>
        <v>0</v>
      </c>
      <c r="H26" s="92">
        <f t="shared" ref="H26:H27" si="4">INT(G25*(1-$J$8))</f>
        <v>0</v>
      </c>
    </row>
    <row r="27" spans="1:8" x14ac:dyDescent="0.2">
      <c r="B27" s="155" t="s">
        <v>174</v>
      </c>
      <c r="C27" s="155"/>
      <c r="D27" s="92"/>
      <c r="E27" s="92"/>
      <c r="F27" s="92">
        <f t="shared" si="2"/>
        <v>0</v>
      </c>
      <c r="G27" s="92">
        <f t="shared" si="3"/>
        <v>0</v>
      </c>
      <c r="H27" s="92">
        <f t="shared" si="4"/>
        <v>0</v>
      </c>
    </row>
    <row r="28" spans="1:8" x14ac:dyDescent="0.2">
      <c r="B28" s="91" t="s">
        <v>166</v>
      </c>
      <c r="C28" s="91"/>
      <c r="D28" s="156">
        <f>SUM(D25:D27)</f>
        <v>0</v>
      </c>
      <c r="E28" s="156">
        <f>SUM(E25:E27)</f>
        <v>0</v>
      </c>
      <c r="F28" s="156">
        <f>SUM(F25:F27)</f>
        <v>0</v>
      </c>
      <c r="G28" s="156">
        <f>SUM(G25:G27)</f>
        <v>0</v>
      </c>
      <c r="H28" s="156">
        <f>SUM(H25:H27)</f>
        <v>0</v>
      </c>
    </row>
    <row r="29" spans="1:8" x14ac:dyDescent="0.2">
      <c r="B29" s="22"/>
      <c r="C29" s="22"/>
    </row>
    <row r="30" spans="1:8" x14ac:dyDescent="0.2">
      <c r="B30" s="155" t="s">
        <v>172</v>
      </c>
      <c r="C30" s="155"/>
      <c r="D30" s="92"/>
      <c r="E30" s="92"/>
      <c r="F30" s="92"/>
      <c r="G30" s="92"/>
      <c r="H30" s="92"/>
    </row>
    <row r="31" spans="1:8" x14ac:dyDescent="0.2">
      <c r="B31" s="155" t="s">
        <v>173</v>
      </c>
      <c r="C31" s="155"/>
      <c r="D31" s="92"/>
      <c r="E31" s="92"/>
      <c r="F31" s="92"/>
      <c r="G31" s="92"/>
      <c r="H31" s="92"/>
    </row>
    <row r="32" spans="1:8" x14ac:dyDescent="0.2">
      <c r="B32" s="155" t="s">
        <v>175</v>
      </c>
      <c r="C32" s="155"/>
      <c r="D32" s="92"/>
      <c r="E32" s="92"/>
      <c r="F32" s="92"/>
      <c r="G32" s="92"/>
      <c r="H32" s="92"/>
    </row>
    <row r="33" spans="1:10" x14ac:dyDescent="0.2">
      <c r="B33" s="155" t="s">
        <v>176</v>
      </c>
      <c r="C33" s="155"/>
      <c r="D33" s="92"/>
      <c r="E33" s="92"/>
      <c r="F33" s="92"/>
      <c r="G33" s="92"/>
      <c r="H33" s="92"/>
    </row>
    <row r="34" spans="1:10" x14ac:dyDescent="0.2">
      <c r="B34" s="155" t="s">
        <v>177</v>
      </c>
      <c r="C34" s="155"/>
      <c r="D34" s="92"/>
      <c r="E34" s="92"/>
      <c r="F34" s="92"/>
      <c r="G34" s="92"/>
      <c r="H34" s="92"/>
    </row>
    <row r="35" spans="1:10" x14ac:dyDescent="0.2">
      <c r="B35" s="155" t="s">
        <v>178</v>
      </c>
      <c r="C35" s="155"/>
      <c r="D35" s="92"/>
      <c r="E35" s="92"/>
      <c r="F35" s="92"/>
      <c r="G35" s="92"/>
      <c r="H35" s="92"/>
    </row>
    <row r="36" spans="1:10" x14ac:dyDescent="0.2">
      <c r="B36" s="91" t="s">
        <v>167</v>
      </c>
      <c r="C36" s="91"/>
      <c r="D36" s="156">
        <f>SUM(D30:D35)</f>
        <v>0</v>
      </c>
      <c r="E36" s="156">
        <f>SUM(E30:E35)</f>
        <v>0</v>
      </c>
      <c r="F36" s="156">
        <f>SUM(F30:F35)</f>
        <v>0</v>
      </c>
      <c r="G36" s="156">
        <f>SUM(G30:G35)</f>
        <v>0</v>
      </c>
      <c r="H36" s="156">
        <f>SUM(H30:H35)</f>
        <v>0</v>
      </c>
    </row>
    <row r="37" spans="1:10" x14ac:dyDescent="0.2">
      <c r="B37" s="155" t="s">
        <v>168</v>
      </c>
      <c r="C37" s="155"/>
      <c r="D37" s="92"/>
      <c r="E37" s="92"/>
      <c r="F37" s="92"/>
      <c r="G37" s="92"/>
      <c r="H37" s="92"/>
    </row>
    <row r="38" spans="1:10" x14ac:dyDescent="0.2">
      <c r="B38" s="155" t="s">
        <v>169</v>
      </c>
      <c r="C38" s="155"/>
      <c r="D38" s="92"/>
      <c r="E38" s="92"/>
      <c r="F38" s="92"/>
      <c r="G38" s="92"/>
      <c r="H38" s="92"/>
    </row>
    <row r="39" spans="1:10" x14ac:dyDescent="0.2">
      <c r="B39" s="91" t="s">
        <v>179</v>
      </c>
      <c r="C39" s="91"/>
      <c r="D39" s="157">
        <f>+D28+(D36*'[1]COURSE INFORMATION'!$D$19)+(D37*'[1]COURSE INFORMATION'!$D$20)</f>
        <v>0</v>
      </c>
      <c r="E39" s="157">
        <f>+E28+(E36*'[1]COURSE INFORMATION'!$D$19)+(E37*'[1]COURSE INFORMATION'!$D$20)</f>
        <v>0</v>
      </c>
      <c r="F39" s="157">
        <f>+F28+(F36*'[1]COURSE INFORMATION'!$D$19)+(F37*'[1]COURSE INFORMATION'!$D$20)</f>
        <v>0</v>
      </c>
      <c r="G39" s="157">
        <f>+G28+(G36*'[1]COURSE INFORMATION'!$D$19)+(G37*'[1]COURSE INFORMATION'!$D$20)</f>
        <v>0</v>
      </c>
      <c r="H39" s="157">
        <f>+H28+(H36*'[1]COURSE INFORMATION'!$D$19)+(H37*'[1]COURSE INFORMATION'!$D$20)</f>
        <v>0</v>
      </c>
    </row>
    <row r="40" spans="1:10" x14ac:dyDescent="0.2">
      <c r="B40" s="22" t="s">
        <v>180</v>
      </c>
      <c r="C40" s="22"/>
      <c r="D40" s="157">
        <f>+D39+D22</f>
        <v>0</v>
      </c>
      <c r="E40" s="157">
        <f>+E39+E22</f>
        <v>0</v>
      </c>
      <c r="F40" s="157">
        <f>+F39+F22</f>
        <v>0</v>
      </c>
      <c r="G40" s="157">
        <f>+G39+G22</f>
        <v>0</v>
      </c>
      <c r="H40" s="157">
        <f>+H39+H22</f>
        <v>0</v>
      </c>
    </row>
    <row r="41" spans="1:10" x14ac:dyDescent="0.2">
      <c r="B41" s="22"/>
      <c r="C41" s="22"/>
    </row>
    <row r="42" spans="1:10" x14ac:dyDescent="0.2">
      <c r="A42" s="60" t="s">
        <v>85</v>
      </c>
      <c r="B42" s="22" t="s">
        <v>181</v>
      </c>
      <c r="C42" s="22"/>
      <c r="I42" s="22"/>
      <c r="J42" s="22"/>
    </row>
    <row r="43" spans="1:10" x14ac:dyDescent="0.2">
      <c r="B43" s="91" t="s">
        <v>182</v>
      </c>
      <c r="C43" s="91"/>
      <c r="D43" s="22" t="s">
        <v>183</v>
      </c>
    </row>
    <row r="44" spans="1:10" x14ac:dyDescent="0.2">
      <c r="B44" s="155" t="s">
        <v>184</v>
      </c>
      <c r="C44" s="155"/>
      <c r="D44" s="87">
        <v>7000</v>
      </c>
      <c r="E44" s="87">
        <f>+D44</f>
        <v>7000</v>
      </c>
      <c r="F44" s="87">
        <f t="shared" ref="F44:H44" si="5">+E44</f>
        <v>7000</v>
      </c>
      <c r="G44" s="87">
        <f t="shared" si="5"/>
        <v>7000</v>
      </c>
      <c r="H44" s="87">
        <f t="shared" si="5"/>
        <v>7000</v>
      </c>
      <c r="J44" s="182"/>
    </row>
    <row r="45" spans="1:10" x14ac:dyDescent="0.2">
      <c r="B45" s="155" t="s">
        <v>185</v>
      </c>
      <c r="C45" s="155"/>
      <c r="D45" s="87">
        <v>4500</v>
      </c>
      <c r="E45" s="87">
        <v>4500</v>
      </c>
      <c r="F45" s="87">
        <v>4500</v>
      </c>
      <c r="G45" s="87">
        <v>4500</v>
      </c>
      <c r="H45" s="87">
        <v>4500</v>
      </c>
      <c r="J45" s="182" t="s">
        <v>325</v>
      </c>
    </row>
    <row r="46" spans="1:10" x14ac:dyDescent="0.2">
      <c r="B46" s="155" t="s">
        <v>186</v>
      </c>
      <c r="C46" s="155"/>
      <c r="D46" s="87">
        <v>4000</v>
      </c>
      <c r="E46" s="87">
        <v>4000</v>
      </c>
      <c r="F46" s="87">
        <v>4000</v>
      </c>
      <c r="G46" s="87">
        <v>4000</v>
      </c>
      <c r="H46" s="87">
        <v>4000</v>
      </c>
      <c r="J46" s="182" t="s">
        <v>326</v>
      </c>
    </row>
    <row r="47" spans="1:10" x14ac:dyDescent="0.2">
      <c r="B47" s="155" t="s">
        <v>187</v>
      </c>
      <c r="C47" s="155"/>
      <c r="D47" s="87">
        <v>4000</v>
      </c>
      <c r="E47" s="87">
        <v>4000</v>
      </c>
      <c r="F47" s="87">
        <v>4000</v>
      </c>
      <c r="G47" s="87">
        <v>4000</v>
      </c>
      <c r="H47" s="87">
        <v>4000</v>
      </c>
      <c r="J47" s="182" t="s">
        <v>327</v>
      </c>
    </row>
    <row r="48" spans="1:10" x14ac:dyDescent="0.2">
      <c r="B48" s="155" t="s">
        <v>188</v>
      </c>
      <c r="C48" s="155"/>
      <c r="D48" s="87">
        <v>4000</v>
      </c>
      <c r="E48" s="87">
        <v>4000</v>
      </c>
      <c r="F48" s="87">
        <v>4000</v>
      </c>
      <c r="G48" s="87">
        <v>4000</v>
      </c>
      <c r="H48" s="87">
        <v>4000</v>
      </c>
      <c r="J48" s="182" t="s">
        <v>328</v>
      </c>
    </row>
    <row r="49" spans="1:11" x14ac:dyDescent="0.2">
      <c r="B49" s="154"/>
      <c r="C49" s="154"/>
      <c r="D49" s="61"/>
      <c r="E49" s="61"/>
      <c r="F49" s="61"/>
      <c r="G49" s="61"/>
      <c r="H49" s="61"/>
    </row>
    <row r="50" spans="1:11" x14ac:dyDescent="0.2">
      <c r="A50" s="60" t="s">
        <v>133</v>
      </c>
      <c r="B50" s="91" t="s">
        <v>189</v>
      </c>
      <c r="C50" s="91"/>
      <c r="D50" s="22" t="s">
        <v>183</v>
      </c>
    </row>
    <row r="51" spans="1:11" x14ac:dyDescent="0.2">
      <c r="B51" s="155" t="s">
        <v>184</v>
      </c>
      <c r="C51" s="155"/>
      <c r="D51" s="158">
        <v>9250</v>
      </c>
      <c r="E51" s="158">
        <v>9250</v>
      </c>
      <c r="F51" s="158">
        <v>9250</v>
      </c>
      <c r="G51" s="158">
        <v>9250</v>
      </c>
      <c r="H51" s="158">
        <v>9250</v>
      </c>
      <c r="J51" s="22"/>
      <c r="K51" s="182"/>
    </row>
    <row r="52" spans="1:11" x14ac:dyDescent="0.2">
      <c r="B52" s="155" t="s">
        <v>190</v>
      </c>
      <c r="C52" s="155"/>
      <c r="D52" s="158">
        <f>750*4</f>
        <v>3000</v>
      </c>
      <c r="E52" s="158">
        <v>3000</v>
      </c>
      <c r="F52" s="158">
        <v>3000</v>
      </c>
      <c r="G52" s="158">
        <v>3000</v>
      </c>
      <c r="H52" s="158">
        <v>3000</v>
      </c>
      <c r="J52" s="182" t="s">
        <v>312</v>
      </c>
      <c r="K52" s="182"/>
    </row>
    <row r="53" spans="1:11" x14ac:dyDescent="0.2">
      <c r="B53" s="155" t="s">
        <v>186</v>
      </c>
      <c r="C53" s="155"/>
      <c r="D53" s="158">
        <v>3000</v>
      </c>
      <c r="E53" s="158">
        <v>3000</v>
      </c>
      <c r="F53" s="158">
        <v>3000</v>
      </c>
      <c r="G53" s="158">
        <v>3000</v>
      </c>
      <c r="H53" s="158">
        <v>3000</v>
      </c>
      <c r="K53" s="182"/>
    </row>
    <row r="54" spans="1:11" x14ac:dyDescent="0.2">
      <c r="B54" s="155" t="s">
        <v>187</v>
      </c>
      <c r="C54" s="155"/>
      <c r="D54" s="158">
        <v>3000</v>
      </c>
      <c r="E54" s="158">
        <v>3000</v>
      </c>
      <c r="F54" s="158">
        <v>3000</v>
      </c>
      <c r="G54" s="158">
        <v>3000</v>
      </c>
      <c r="H54" s="158">
        <v>3000</v>
      </c>
      <c r="K54" s="182"/>
    </row>
    <row r="55" spans="1:11" x14ac:dyDescent="0.2">
      <c r="B55" s="155" t="s">
        <v>188</v>
      </c>
      <c r="C55" s="155"/>
      <c r="D55" s="158">
        <v>3000</v>
      </c>
      <c r="E55" s="158">
        <v>3000</v>
      </c>
      <c r="F55" s="158">
        <v>3000</v>
      </c>
      <c r="G55" s="158">
        <v>3000</v>
      </c>
      <c r="H55" s="158">
        <v>3000</v>
      </c>
      <c r="K55" s="182"/>
    </row>
    <row r="56" spans="1:11" x14ac:dyDescent="0.2">
      <c r="B56" s="155" t="s">
        <v>191</v>
      </c>
      <c r="C56" s="155"/>
      <c r="D56" s="158">
        <v>1350</v>
      </c>
      <c r="E56" s="158">
        <v>1350</v>
      </c>
      <c r="F56" s="158">
        <v>1350</v>
      </c>
      <c r="G56" s="158">
        <v>3000</v>
      </c>
      <c r="H56" s="158">
        <v>3000</v>
      </c>
      <c r="K56" s="182"/>
    </row>
    <row r="57" spans="1:11" x14ac:dyDescent="0.2">
      <c r="B57" s="91"/>
      <c r="C57" s="91"/>
      <c r="D57" s="61"/>
      <c r="E57" s="61"/>
      <c r="F57" s="61"/>
      <c r="G57" s="61"/>
      <c r="H57" s="61"/>
    </row>
    <row r="58" spans="1:11" x14ac:dyDescent="0.2">
      <c r="A58" s="60" t="s">
        <v>208</v>
      </c>
      <c r="B58" s="159" t="s">
        <v>318</v>
      </c>
      <c r="C58" s="159"/>
      <c r="D58" s="60" t="s">
        <v>292</v>
      </c>
      <c r="J58" s="160"/>
    </row>
    <row r="59" spans="1:11" x14ac:dyDescent="0.2">
      <c r="B59" s="155" t="s">
        <v>184</v>
      </c>
      <c r="C59" s="155"/>
      <c r="D59" s="158"/>
      <c r="E59" s="158"/>
      <c r="F59" s="158"/>
      <c r="G59" s="158"/>
      <c r="H59" s="158"/>
      <c r="J59" s="212"/>
    </row>
    <row r="60" spans="1:11" x14ac:dyDescent="0.2">
      <c r="B60" s="155" t="s">
        <v>185</v>
      </c>
      <c r="C60" s="155"/>
      <c r="D60" s="158"/>
      <c r="E60" s="158"/>
      <c r="F60" s="158"/>
      <c r="G60" s="158"/>
      <c r="H60" s="158"/>
      <c r="J60" s="212"/>
    </row>
    <row r="61" spans="1:11" x14ac:dyDescent="0.2">
      <c r="B61" s="155" t="s">
        <v>191</v>
      </c>
      <c r="C61" s="155"/>
      <c r="D61" s="158"/>
      <c r="E61" s="158"/>
      <c r="F61" s="158"/>
      <c r="G61" s="158"/>
      <c r="H61" s="158"/>
      <c r="J61" s="212"/>
    </row>
    <row r="62" spans="1:11" x14ac:dyDescent="0.2">
      <c r="B62" s="155" t="s">
        <v>192</v>
      </c>
      <c r="C62" s="155"/>
      <c r="D62" s="158"/>
      <c r="E62" s="158"/>
      <c r="F62" s="158"/>
      <c r="G62" s="158"/>
      <c r="H62" s="158"/>
      <c r="J62" s="212"/>
    </row>
    <row r="63" spans="1:11" x14ac:dyDescent="0.2">
      <c r="B63" s="159" t="s">
        <v>319</v>
      </c>
      <c r="C63" s="159"/>
      <c r="D63" s="60" t="s">
        <v>292</v>
      </c>
      <c r="J63" s="212"/>
    </row>
    <row r="64" spans="1:11" x14ac:dyDescent="0.2">
      <c r="B64" s="155" t="s">
        <v>184</v>
      </c>
      <c r="C64" s="155"/>
      <c r="D64" s="158"/>
      <c r="E64" s="158"/>
      <c r="F64" s="158"/>
      <c r="G64" s="158"/>
      <c r="H64" s="158"/>
      <c r="J64" s="212"/>
    </row>
    <row r="65" spans="1:10" x14ac:dyDescent="0.2">
      <c r="B65" s="155" t="s">
        <v>185</v>
      </c>
      <c r="C65" s="155"/>
      <c r="D65" s="158"/>
      <c r="E65" s="158"/>
      <c r="F65" s="158"/>
      <c r="G65" s="158"/>
      <c r="H65" s="158"/>
      <c r="J65" s="212"/>
    </row>
    <row r="66" spans="1:10" x14ac:dyDescent="0.2">
      <c r="B66" s="155" t="s">
        <v>191</v>
      </c>
      <c r="C66" s="155"/>
      <c r="D66" s="158"/>
      <c r="E66" s="158"/>
      <c r="F66" s="158"/>
      <c r="G66" s="158"/>
      <c r="H66" s="158"/>
      <c r="J66" s="212"/>
    </row>
    <row r="67" spans="1:10" x14ac:dyDescent="0.2">
      <c r="B67" s="155" t="s">
        <v>192</v>
      </c>
      <c r="C67" s="155"/>
      <c r="D67" s="158"/>
      <c r="E67" s="158"/>
      <c r="F67" s="158"/>
      <c r="G67" s="158"/>
      <c r="H67" s="158"/>
      <c r="J67" s="212"/>
    </row>
    <row r="68" spans="1:10" x14ac:dyDescent="0.2">
      <c r="J68" s="160"/>
    </row>
    <row r="69" spans="1:10" s="61" customFormat="1" x14ac:dyDescent="0.2">
      <c r="A69" s="61" t="s">
        <v>209</v>
      </c>
      <c r="B69" s="55" t="s">
        <v>102</v>
      </c>
      <c r="C69" s="55"/>
      <c r="D69" s="62"/>
      <c r="E69" s="62"/>
      <c r="F69" s="62"/>
      <c r="G69" s="62"/>
      <c r="H69" s="62"/>
      <c r="J69" s="63"/>
    </row>
    <row r="70" spans="1:10" s="61" customFormat="1" x14ac:dyDescent="0.2">
      <c r="B70" s="176" t="s">
        <v>309</v>
      </c>
      <c r="C70" s="55"/>
      <c r="D70" s="62"/>
      <c r="E70" s="62"/>
      <c r="F70" s="62"/>
      <c r="G70" s="62"/>
      <c r="H70" s="62"/>
      <c r="J70" s="63"/>
    </row>
    <row r="71" spans="1:10" s="61" customFormat="1" ht="44.25" customHeight="1" x14ac:dyDescent="0.2">
      <c r="B71" s="209"/>
      <c r="C71" s="210"/>
      <c r="D71" s="210"/>
      <c r="E71" s="210"/>
      <c r="F71" s="210"/>
      <c r="G71" s="210"/>
      <c r="H71" s="211"/>
      <c r="J71" s="63"/>
    </row>
    <row r="72" spans="1:10" s="61" customFormat="1" x14ac:dyDescent="0.2">
      <c r="B72" s="176"/>
      <c r="C72" s="55"/>
      <c r="D72" s="62"/>
      <c r="E72" s="62"/>
      <c r="F72" s="62"/>
      <c r="G72" s="62"/>
      <c r="H72" s="62"/>
      <c r="J72" s="63"/>
    </row>
    <row r="73" spans="1:10" x14ac:dyDescent="0.2">
      <c r="D73" s="63"/>
      <c r="E73" s="63"/>
      <c r="F73" s="63"/>
      <c r="G73" s="63"/>
      <c r="H73" s="63"/>
    </row>
    <row r="74" spans="1:10" ht="16.5" customHeight="1" x14ac:dyDescent="0.2">
      <c r="A74" s="64"/>
      <c r="B74" s="213"/>
      <c r="C74" s="214"/>
      <c r="D74" s="214"/>
      <c r="E74" s="214"/>
      <c r="F74" s="214"/>
      <c r="G74" s="214"/>
      <c r="H74" s="215"/>
    </row>
    <row r="75" spans="1:10" x14ac:dyDescent="0.2">
      <c r="A75" s="63"/>
      <c r="B75" s="63"/>
      <c r="C75" s="63"/>
      <c r="D75" s="63"/>
      <c r="E75" s="63"/>
      <c r="F75" s="63"/>
      <c r="G75" s="63"/>
      <c r="H75" s="63"/>
    </row>
    <row r="76" spans="1:10" x14ac:dyDescent="0.2">
      <c r="F76" s="63"/>
      <c r="G76" s="63"/>
      <c r="H76" s="63"/>
    </row>
    <row r="77" spans="1:10" x14ac:dyDescent="0.2">
      <c r="A77" s="64"/>
      <c r="B77" s="213"/>
      <c r="C77" s="214"/>
      <c r="D77" s="214"/>
      <c r="E77" s="214"/>
      <c r="F77" s="214"/>
      <c r="G77" s="214"/>
      <c r="H77" s="215"/>
    </row>
    <row r="79" spans="1:10" x14ac:dyDescent="0.2">
      <c r="E79" s="63"/>
      <c r="F79" s="63"/>
      <c r="G79" s="63"/>
      <c r="H79" s="63"/>
    </row>
    <row r="80" spans="1:10" x14ac:dyDescent="0.2">
      <c r="A80" s="64"/>
      <c r="B80" s="213"/>
      <c r="C80" s="214"/>
      <c r="D80" s="214"/>
      <c r="E80" s="214"/>
      <c r="F80" s="214"/>
      <c r="G80" s="214"/>
      <c r="H80" s="215"/>
    </row>
    <row r="82" spans="1:10" x14ac:dyDescent="0.2">
      <c r="D82" s="63"/>
      <c r="E82" s="63"/>
      <c r="F82" s="63"/>
      <c r="G82" s="63"/>
      <c r="H82" s="63"/>
    </row>
    <row r="83" spans="1:10" ht="14.25" customHeight="1" x14ac:dyDescent="0.2">
      <c r="A83" s="64"/>
      <c r="B83" s="213"/>
      <c r="C83" s="214"/>
      <c r="D83" s="214"/>
      <c r="E83" s="214"/>
      <c r="F83" s="214"/>
      <c r="G83" s="214"/>
      <c r="H83" s="215"/>
    </row>
    <row r="86" spans="1:10" x14ac:dyDescent="0.2">
      <c r="A86" s="64"/>
      <c r="B86" s="206"/>
      <c r="C86" s="207"/>
      <c r="D86" s="207"/>
      <c r="E86" s="207"/>
      <c r="F86" s="207"/>
      <c r="G86" s="207"/>
      <c r="H86" s="208"/>
    </row>
    <row r="88" spans="1:10" x14ac:dyDescent="0.2">
      <c r="B88" s="60" t="s">
        <v>145</v>
      </c>
      <c r="F88" s="68">
        <v>0.03</v>
      </c>
      <c r="G88" s="89" t="str">
        <f>IF(F88&lt;0.03,"Inflation below accepted norm"," ")</f>
        <v xml:space="preserve"> </v>
      </c>
      <c r="J88" s="182"/>
    </row>
    <row r="89" spans="1:10" s="61" customFormat="1" x14ac:dyDescent="0.2">
      <c r="D89" s="161"/>
      <c r="E89" s="161"/>
      <c r="F89" s="161"/>
      <c r="G89" s="161"/>
      <c r="H89" s="161"/>
    </row>
    <row r="90" spans="1:10" x14ac:dyDescent="0.2">
      <c r="A90" s="60" t="s">
        <v>210</v>
      </c>
      <c r="B90" s="22" t="s">
        <v>103</v>
      </c>
      <c r="C90" s="22"/>
    </row>
    <row r="91" spans="1:10" x14ac:dyDescent="0.2">
      <c r="B91" s="162" t="s">
        <v>310</v>
      </c>
      <c r="C91" s="162"/>
      <c r="I91" s="22"/>
      <c r="J91" s="22"/>
    </row>
    <row r="92" spans="1:10" x14ac:dyDescent="0.2">
      <c r="B92" s="154" t="s">
        <v>193</v>
      </c>
      <c r="C92" s="154"/>
      <c r="D92" s="22"/>
    </row>
    <row r="93" spans="1:10" x14ac:dyDescent="0.2">
      <c r="B93" s="155" t="s">
        <v>184</v>
      </c>
      <c r="C93" s="155"/>
      <c r="D93" s="163">
        <f>IF('4.1 FA - Basic Info'!$C$15="Foundation",D11*D44,IF('4.1 FA - Basic Info'!$C$15="Undergraduate",D11*D51,D59*D11))</f>
        <v>0</v>
      </c>
      <c r="E93" s="163">
        <f>IF('4.1 FA - Basic Info'!$C$15="Foundation",E11*E44,IF('4.1 FA - Basic Info'!$C$15="Undergraduate",E11*E51,E59*E11))</f>
        <v>0</v>
      </c>
      <c r="F93" s="163">
        <f>IF('4.1 FA - Basic Info'!$C$15="Foundation",F11*F44,IF('4.1 FA - Basic Info'!$C$15="Undergraduate",F11*F51,F59*F11))</f>
        <v>0</v>
      </c>
      <c r="G93" s="163">
        <f>IF('4.1 FA - Basic Info'!$C$15="Foundation",G11*G44,IF('4.1 FA - Basic Info'!$C$15="Undergraduate",G11*G51,G59*G11))</f>
        <v>0</v>
      </c>
      <c r="H93" s="163">
        <f>IF('4.1 FA - Basic Info'!$C$15="Foundation",H11*H44,IF('4.1 FA - Basic Info'!$C$15="Undergraduate",H11*H51,H59*H11))</f>
        <v>0</v>
      </c>
    </row>
    <row r="94" spans="1:10" x14ac:dyDescent="0.2">
      <c r="B94" s="155" t="s">
        <v>185</v>
      </c>
      <c r="C94" s="155"/>
      <c r="D94" s="163">
        <f>IF('4.1 FA - Basic Info'!$C$15="Foundation",((D13+D14+D15)*D45)+((D16+D17+D18)*D46),IF('4.1 FA - Basic Info'!$C$15="Undergraduate",(D52*(D13+D14+D15))+((D16+D17+D18)*D52),D60*D19))</f>
        <v>0</v>
      </c>
      <c r="E94" s="163">
        <f>IF('4.1 FA - Basic Info'!$C$15="Foundation",((E13+E14+E15)*E45)+((E16+E17+E18)*E46),IF('4.1 FA - Basic Info'!$C$15="Undergraduate",(E52*(E13+E14+E15))+((E16+E17+E18)*E52),E60*E19))</f>
        <v>0</v>
      </c>
      <c r="F94" s="163">
        <f>IF('4.1 FA - Basic Info'!$C$15="Foundation",((F13+F14+F15)*F45)+((F16+F17+F18)*F46),IF('4.1 FA - Basic Info'!$C$15="Undergraduate",(F52*(F13+F14+F15))+((F16+F17+F18)*F52),F60*F19))</f>
        <v>0</v>
      </c>
      <c r="G94" s="163">
        <f>IF('4.1 FA - Basic Info'!$C$15="Foundation",((G13+G14+G15)*G45)+((G16+G17+G18)*G46),IF('4.1 FA - Basic Info'!$C$15="Undergraduate",(G52*(G13+G14+G15))+((G16+G17+G18)*G52),G60*G19))</f>
        <v>0</v>
      </c>
      <c r="H94" s="163">
        <f>IF('4.1 FA - Basic Info'!$C$15="Foundation",((H13+H14+H15)*H45)+((H16+H17+H18)*H46),IF('4.1 FA - Basic Info'!$C$15="Undergraduate",(H52*(H13+H14+H15))+((H16+H17+H18)*H52),H60*H19))</f>
        <v>0</v>
      </c>
    </row>
    <row r="95" spans="1:10" x14ac:dyDescent="0.2">
      <c r="B95" s="155" t="s">
        <v>191</v>
      </c>
      <c r="C95" s="155"/>
      <c r="D95" s="163">
        <f>IF('4.1 FA - Basic Info'!$C$15="Undergraduate",D56*D20,0)</f>
        <v>0</v>
      </c>
      <c r="E95" s="163">
        <f>IF('4.1 FA - Basic Info'!$C$15="Undergraduate",E56*E20,0)</f>
        <v>0</v>
      </c>
      <c r="F95" s="163">
        <f>IF('4.1 FA - Basic Info'!$C$15="Undergraduate",F56*F20,0)</f>
        <v>0</v>
      </c>
      <c r="G95" s="163">
        <f>IF('4.1 FA - Basic Info'!$C$15="Undergraduate",G56*G20,0)</f>
        <v>0</v>
      </c>
      <c r="H95" s="163">
        <f>IF('4.1 FA - Basic Info'!$C$15="Undergraduate",H56*H20,0)</f>
        <v>0</v>
      </c>
    </row>
    <row r="96" spans="1:10" x14ac:dyDescent="0.2">
      <c r="B96" s="155" t="s">
        <v>192</v>
      </c>
      <c r="C96" s="155"/>
      <c r="D96" s="163">
        <f>IF('4.1 FA - Basic Info'!$C$15="Postgraduate",D62*D21,0)</f>
        <v>0</v>
      </c>
      <c r="E96" s="163">
        <f>IF('4.1 FA - Basic Info'!$C$15="Postgraduate",E62*E21,0)</f>
        <v>0</v>
      </c>
      <c r="F96" s="163">
        <f>IF('4.1 FA - Basic Info'!$C$15="Postgraduate",F62*F21,0)</f>
        <v>0</v>
      </c>
      <c r="G96" s="163">
        <f>IF('4.1 FA - Basic Info'!$C$15="Postgraduate",G62*G21,0)</f>
        <v>0</v>
      </c>
      <c r="H96" s="163">
        <f>IF('4.1 FA - Basic Info'!$C$15="Postgraduate",H62*H21,0)</f>
        <v>0</v>
      </c>
    </row>
    <row r="97" spans="2:9" x14ac:dyDescent="0.2">
      <c r="B97" s="155"/>
      <c r="C97" s="155"/>
      <c r="D97" s="164">
        <f>SUM(D93:D96)</f>
        <v>0</v>
      </c>
      <c r="E97" s="164">
        <f>SUM(E93:E96)</f>
        <v>0</v>
      </c>
      <c r="F97" s="164">
        <f>SUM(F93:F96)</f>
        <v>0</v>
      </c>
      <c r="G97" s="164">
        <f>SUM(G93:G96)</f>
        <v>0</v>
      </c>
      <c r="H97" s="164">
        <f>SUM(H93:H96)</f>
        <v>0</v>
      </c>
    </row>
    <row r="98" spans="2:9" x14ac:dyDescent="0.2">
      <c r="B98" s="165" t="s">
        <v>194</v>
      </c>
      <c r="C98" s="165"/>
      <c r="D98" s="55"/>
      <c r="E98" s="61"/>
      <c r="F98" s="61"/>
      <c r="G98" s="61"/>
      <c r="H98" s="61"/>
    </row>
    <row r="99" spans="2:9" x14ac:dyDescent="0.2">
      <c r="B99" s="155" t="s">
        <v>184</v>
      </c>
      <c r="C99" s="155"/>
      <c r="D99" s="163">
        <f>D64*D28</f>
        <v>0</v>
      </c>
      <c r="E99" s="163">
        <f>E64*E28</f>
        <v>0</v>
      </c>
      <c r="F99" s="163">
        <f>F64*F28</f>
        <v>0</v>
      </c>
      <c r="G99" s="163">
        <f>G64*G28</f>
        <v>0</v>
      </c>
      <c r="H99" s="163">
        <f>H64*H28</f>
        <v>0</v>
      </c>
    </row>
    <row r="100" spans="2:9" x14ac:dyDescent="0.2">
      <c r="B100" s="155" t="s">
        <v>185</v>
      </c>
      <c r="C100" s="155"/>
      <c r="D100" s="163">
        <f>D65*D36</f>
        <v>0</v>
      </c>
      <c r="E100" s="163">
        <f t="shared" ref="E100:H100" si="6">E65*E36</f>
        <v>0</v>
      </c>
      <c r="F100" s="163">
        <f t="shared" si="6"/>
        <v>0</v>
      </c>
      <c r="G100" s="163">
        <f t="shared" si="6"/>
        <v>0</v>
      </c>
      <c r="H100" s="163">
        <f t="shared" si="6"/>
        <v>0</v>
      </c>
    </row>
    <row r="101" spans="2:9" x14ac:dyDescent="0.2">
      <c r="B101" s="155" t="s">
        <v>191</v>
      </c>
      <c r="C101" s="155"/>
      <c r="D101" s="163">
        <f t="shared" ref="D101:H102" si="7">+D66*D37</f>
        <v>0</v>
      </c>
      <c r="E101" s="163">
        <f t="shared" si="7"/>
        <v>0</v>
      </c>
      <c r="F101" s="163">
        <f t="shared" si="7"/>
        <v>0</v>
      </c>
      <c r="G101" s="163">
        <f t="shared" si="7"/>
        <v>0</v>
      </c>
      <c r="H101" s="163">
        <f t="shared" si="7"/>
        <v>0</v>
      </c>
    </row>
    <row r="102" spans="2:9" x14ac:dyDescent="0.2">
      <c r="B102" s="155" t="s">
        <v>192</v>
      </c>
      <c r="C102" s="155"/>
      <c r="D102" s="163">
        <f t="shared" si="7"/>
        <v>0</v>
      </c>
      <c r="E102" s="163">
        <f t="shared" si="7"/>
        <v>0</v>
      </c>
      <c r="F102" s="163">
        <f t="shared" si="7"/>
        <v>0</v>
      </c>
      <c r="G102" s="163">
        <f t="shared" si="7"/>
        <v>0</v>
      </c>
      <c r="H102" s="163">
        <f t="shared" si="7"/>
        <v>0</v>
      </c>
    </row>
    <row r="103" spans="2:9" x14ac:dyDescent="0.2">
      <c r="B103" s="155"/>
      <c r="C103" s="155"/>
      <c r="D103" s="164">
        <f>SUM(D99:D102)</f>
        <v>0</v>
      </c>
      <c r="E103" s="164">
        <f>SUM(E99:E102)</f>
        <v>0</v>
      </c>
      <c r="F103" s="164">
        <f>SUM(F99:F102)</f>
        <v>0</v>
      </c>
      <c r="G103" s="164">
        <f>SUM(G99:G102)</f>
        <v>0</v>
      </c>
      <c r="H103" s="164">
        <f>SUM(H99:H102)</f>
        <v>0</v>
      </c>
    </row>
    <row r="104" spans="2:9" x14ac:dyDescent="0.2">
      <c r="B104" s="166" t="s">
        <v>311</v>
      </c>
      <c r="C104" s="166"/>
      <c r="D104" s="164">
        <f>+D103+D97</f>
        <v>0</v>
      </c>
      <c r="E104" s="164">
        <f>+E103+E97</f>
        <v>0</v>
      </c>
      <c r="F104" s="164">
        <f>+F103+F97</f>
        <v>0</v>
      </c>
      <c r="G104" s="164">
        <f>+G103+G97</f>
        <v>0</v>
      </c>
      <c r="H104" s="164">
        <f>+H103+H97</f>
        <v>0</v>
      </c>
    </row>
    <row r="106" spans="2:9" x14ac:dyDescent="0.2">
      <c r="B106" s="162" t="s">
        <v>198</v>
      </c>
      <c r="C106" s="162"/>
    </row>
    <row r="107" spans="2:9" x14ac:dyDescent="0.2">
      <c r="B107" s="155" t="s">
        <v>199</v>
      </c>
      <c r="C107" s="155"/>
      <c r="D107" s="167">
        <f>+D40</f>
        <v>0</v>
      </c>
      <c r="E107" s="167">
        <f>+E40</f>
        <v>0</v>
      </c>
      <c r="F107" s="167">
        <f t="shared" ref="F107:H107" si="8">+F40</f>
        <v>0</v>
      </c>
      <c r="G107" s="167">
        <f t="shared" si="8"/>
        <v>0</v>
      </c>
      <c r="H107" s="167">
        <f t="shared" si="8"/>
        <v>0</v>
      </c>
      <c r="I107" s="167">
        <f>+I40</f>
        <v>0</v>
      </c>
    </row>
    <row r="108" spans="2:9" x14ac:dyDescent="0.2">
      <c r="B108" s="168" t="s">
        <v>291</v>
      </c>
      <c r="C108" s="168"/>
      <c r="D108" s="163">
        <f>IF('4.1 FA - Basic Info'!$B$27="UG B",'4.1 FA - Basic Info'!$C$29,IF('4.1 FA - Basic Info'!$B$27="PG B",'4.1 FA - Basic Info'!$C$30,IF('4.1 FA - Basic Info'!$B$27="UG C1",'4.1 FA - Basic Info'!$C$31,IF('4.1 FA - Basic Info'!$B$27="PG C1",'4.1 FA - Basic Info'!$C$32,IF('4.1 FA - Basic Info'!$B$27="PG C2",'4.1 FA - Basic Info'!$C$33,0)))))</f>
        <v>0</v>
      </c>
      <c r="E108" s="163">
        <f>IF('4.1 FA - Basic Info'!$B$27="UG B",'4.1 FA - Basic Info'!$C$29,IF('4.1 FA - Basic Info'!$B$27="PG B",'4.1 FA - Basic Info'!$C$30,IF('4.1 FA - Basic Info'!$B$27="UG C1",'4.1 FA - Basic Info'!$C$31,IF('4.1 FA - Basic Info'!$B$27="PG C1",'4.1 FA - Basic Info'!$C$32,IF('4.1 FA - Basic Info'!$B$27="PG C2",'4.1 FA - Basic Info'!$C$33,0)))))</f>
        <v>0</v>
      </c>
      <c r="F108" s="163">
        <f>IF('4.1 FA - Basic Info'!$B$27="UG B",'4.1 FA - Basic Info'!$C$29,IF('4.1 FA - Basic Info'!$B$27="PG B",'4.1 FA - Basic Info'!$C$30,IF('4.1 FA - Basic Info'!$B$27="UG C1",'4.1 FA - Basic Info'!$C$31,IF('4.1 FA - Basic Info'!$B$27="PG C1",'4.1 FA - Basic Info'!$C$32,IF('4.1 FA - Basic Info'!$B$27="PG C2",'4.1 FA - Basic Info'!$C$33,0)))))</f>
        <v>0</v>
      </c>
      <c r="G108" s="163">
        <f>IF('4.1 FA - Basic Info'!$B$27="UG B",'4.1 FA - Basic Info'!$C$29,IF('4.1 FA - Basic Info'!$B$27="PG B",'4.1 FA - Basic Info'!$C$30,IF('4.1 FA - Basic Info'!$B$27="UG C1",'4.1 FA - Basic Info'!$C$31,IF('4.1 FA - Basic Info'!$B$27="PG C1",'4.1 FA - Basic Info'!$C$32,IF('4.1 FA - Basic Info'!$B$27="PG C2",'4.1 FA - Basic Info'!$C$33,0)))))</f>
        <v>0</v>
      </c>
      <c r="H108" s="163">
        <f>IF('4.1 FA - Basic Info'!$B$27="UG B",'4.1 FA - Basic Info'!$C$29,IF('4.1 FA - Basic Info'!$B$27="PG B",'4.1 FA - Basic Info'!$C$30,IF('4.1 FA - Basic Info'!$B$27="UG C1",'4.1 FA - Basic Info'!$C$31,IF('4.1 FA - Basic Info'!$B$27="PG C1",'4.1 FA - Basic Info'!$C$32,IF('4.1 FA - Basic Info'!$B$27="PG C2",'4.1 FA - Basic Info'!$C$33,0)))))</f>
        <v>0</v>
      </c>
    </row>
    <row r="109" spans="2:9" x14ac:dyDescent="0.2">
      <c r="B109" s="166" t="s">
        <v>200</v>
      </c>
      <c r="C109" s="168"/>
      <c r="D109" s="164">
        <f>+D107*D108</f>
        <v>0</v>
      </c>
      <c r="E109" s="164">
        <f>+E107*E108</f>
        <v>0</v>
      </c>
      <c r="F109" s="164">
        <f>+F107*F108</f>
        <v>0</v>
      </c>
      <c r="G109" s="164">
        <f>+G107*G108</f>
        <v>0</v>
      </c>
      <c r="H109" s="164">
        <f>+H107*H108</f>
        <v>0</v>
      </c>
    </row>
    <row r="111" spans="2:9" x14ac:dyDescent="0.2">
      <c r="B111" s="91" t="s">
        <v>205</v>
      </c>
      <c r="C111" s="91"/>
      <c r="D111" s="164">
        <f>D109+D104</f>
        <v>0</v>
      </c>
      <c r="E111" s="164">
        <f t="shared" ref="E111:H111" si="9">E109+E104</f>
        <v>0</v>
      </c>
      <c r="F111" s="164">
        <f t="shared" si="9"/>
        <v>0</v>
      </c>
      <c r="G111" s="164">
        <f t="shared" si="9"/>
        <v>0</v>
      </c>
      <c r="H111" s="164">
        <f t="shared" si="9"/>
        <v>0</v>
      </c>
    </row>
    <row r="113" spans="1:10" x14ac:dyDescent="0.2">
      <c r="A113" s="60" t="s">
        <v>211</v>
      </c>
      <c r="B113" s="60" t="s">
        <v>206</v>
      </c>
      <c r="D113" s="187">
        <v>25</v>
      </c>
      <c r="J113" s="182" t="s">
        <v>317</v>
      </c>
    </row>
    <row r="114" spans="1:10" x14ac:dyDescent="0.2">
      <c r="B114" s="60" t="s">
        <v>207</v>
      </c>
      <c r="D114" s="167">
        <f>100-D113</f>
        <v>75</v>
      </c>
    </row>
    <row r="115" spans="1:10" x14ac:dyDescent="0.2">
      <c r="D115" s="169">
        <f>SUM(D113:D114)</f>
        <v>100</v>
      </c>
    </row>
    <row r="117" spans="1:10" x14ac:dyDescent="0.2">
      <c r="A117" s="60" t="s">
        <v>214</v>
      </c>
      <c r="B117" s="22" t="s">
        <v>212</v>
      </c>
      <c r="C117" s="22"/>
    </row>
    <row r="118" spans="1:10" x14ac:dyDescent="0.2">
      <c r="B118" s="163" t="s">
        <v>201</v>
      </c>
      <c r="C118" s="163"/>
      <c r="D118" s="163">
        <f>+D104/100*$D$113</f>
        <v>0</v>
      </c>
      <c r="E118" s="163">
        <f>+E104/100*$D$113</f>
        <v>0</v>
      </c>
      <c r="F118" s="163">
        <f>+F104/100*$D$113</f>
        <v>0</v>
      </c>
      <c r="G118" s="163">
        <f>+G104/100*$D$113</f>
        <v>0</v>
      </c>
      <c r="H118" s="163">
        <f>+H104/100*$D$113</f>
        <v>0</v>
      </c>
    </row>
    <row r="119" spans="1:10" x14ac:dyDescent="0.2">
      <c r="B119" s="163" t="s">
        <v>213</v>
      </c>
      <c r="C119" s="163"/>
      <c r="D119" s="163">
        <f>+D109/100*$D$113</f>
        <v>0</v>
      </c>
      <c r="E119" s="163">
        <f>+E109/100*$D$113</f>
        <v>0</v>
      </c>
      <c r="F119" s="163">
        <f t="shared" ref="F119:H119" si="10">+F109/100*$D$113</f>
        <v>0</v>
      </c>
      <c r="G119" s="163">
        <f t="shared" si="10"/>
        <v>0</v>
      </c>
      <c r="H119" s="163">
        <f t="shared" si="10"/>
        <v>0</v>
      </c>
    </row>
    <row r="120" spans="1:10" x14ac:dyDescent="0.2">
      <c r="B120" s="130" t="s">
        <v>295</v>
      </c>
      <c r="C120" s="92"/>
      <c r="D120" s="92"/>
      <c r="E120" s="92"/>
      <c r="F120" s="92"/>
      <c r="G120" s="92"/>
      <c r="H120" s="92"/>
    </row>
    <row r="121" spans="1:10" x14ac:dyDescent="0.2">
      <c r="B121" s="92"/>
      <c r="C121" s="92"/>
      <c r="D121" s="92"/>
      <c r="E121" s="92"/>
      <c r="F121" s="92"/>
      <c r="G121" s="92"/>
      <c r="H121" s="92"/>
    </row>
    <row r="122" spans="1:10" x14ac:dyDescent="0.2">
      <c r="B122" s="92"/>
      <c r="C122" s="92"/>
      <c r="D122" s="92"/>
      <c r="E122" s="92"/>
      <c r="F122" s="92"/>
      <c r="G122" s="92"/>
      <c r="H122" s="92"/>
    </row>
    <row r="123" spans="1:10" x14ac:dyDescent="0.2">
      <c r="B123" s="92"/>
      <c r="C123" s="92"/>
      <c r="D123" s="92"/>
      <c r="E123" s="92"/>
      <c r="F123" s="92"/>
      <c r="G123" s="92"/>
      <c r="H123" s="92"/>
    </row>
    <row r="124" spans="1:10" x14ac:dyDescent="0.2">
      <c r="B124" s="164" t="s">
        <v>212</v>
      </c>
      <c r="C124" s="164">
        <f t="shared" ref="C124:H124" si="11">SUM(C118:C123)</f>
        <v>0</v>
      </c>
      <c r="D124" s="164">
        <f t="shared" si="11"/>
        <v>0</v>
      </c>
      <c r="E124" s="164">
        <f t="shared" si="11"/>
        <v>0</v>
      </c>
      <c r="F124" s="164">
        <f t="shared" si="11"/>
        <v>0</v>
      </c>
      <c r="G124" s="164">
        <f t="shared" si="11"/>
        <v>0</v>
      </c>
      <c r="H124" s="164">
        <f t="shared" si="11"/>
        <v>0</v>
      </c>
    </row>
    <row r="127" spans="1:10" x14ac:dyDescent="0.2">
      <c r="B127" s="182"/>
    </row>
    <row r="128" spans="1:10" x14ac:dyDescent="0.2">
      <c r="B128" s="182"/>
    </row>
  </sheetData>
  <mergeCells count="7">
    <mergeCell ref="B86:H86"/>
    <mergeCell ref="B71:H71"/>
    <mergeCell ref="J59:J67"/>
    <mergeCell ref="B74:H74"/>
    <mergeCell ref="B77:H77"/>
    <mergeCell ref="B80:H80"/>
    <mergeCell ref="B83:H83"/>
  </mergeCells>
  <phoneticPr fontId="0" type="noConversion"/>
  <conditionalFormatting sqref="G88">
    <cfRule type="expression" dxfId="0" priority="1" stopIfTrue="1">
      <formula>IF(#REF!&gt;0.03,"Inflation Below Norm Level"," ")</formula>
    </cfRule>
  </conditionalFormatting>
  <dataValidations xWindow="293" yWindow="357" count="2">
    <dataValidation type="whole" allowBlank="1" showInputMessage="1" showErrorMessage="1" sqref="D52">
      <formula1>750</formula1>
      <formula2>3750</formula2>
    </dataValidation>
    <dataValidation type="decimal" errorStyle="warning" operator="greaterThanOrEqual" allowBlank="1" showInputMessage="1" showErrorMessage="1" prompt="Income Inflation should be 3% or more" sqref="F88">
      <formula1>0.03</formula1>
    </dataValidation>
  </dataValidations>
  <printOptions gridLines="1"/>
  <pageMargins left="0.74803149606299213" right="0.74803149606299213" top="0.98425196850393704" bottom="0.98425196850393704" header="0.51181102362204722" footer="0.51181102362204722"/>
  <pageSetup paperSize="9" scale="53" orientation="portrait" r:id="rId1"/>
  <headerFooter alignWithMargins="0">
    <oddHeader>&amp;C&amp;"Arial,Bold"&amp;14&amp;F</oddHeader>
    <oddFooter>&amp;R&amp;P of &amp;N</oddFooter>
  </headerFooter>
  <rowBreaks count="1" manualBreakCount="1">
    <brk id="89" max="9" man="1"/>
  </rowBreaks>
  <colBreaks count="1" manualBreakCount="1">
    <brk id="10" max="12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R96"/>
  <sheetViews>
    <sheetView zoomScale="80" zoomScaleNormal="80" zoomScaleSheetLayoutView="100" workbookViewId="0">
      <pane xSplit="4" ySplit="5" topLeftCell="E74" activePane="bottomRight" state="frozen"/>
      <selection pane="topRight" activeCell="E1" sqref="E1"/>
      <selection pane="bottomLeft" activeCell="A6" sqref="A6"/>
      <selection pane="bottomRight" activeCell="C101" sqref="C101"/>
    </sheetView>
  </sheetViews>
  <sheetFormatPr defaultRowHeight="12.75" x14ac:dyDescent="0.2"/>
  <cols>
    <col min="1" max="1" width="5.42578125" style="6" customWidth="1"/>
    <col min="2" max="2" width="32.5703125" style="6" customWidth="1"/>
    <col min="3" max="3" width="13.85546875" style="6" customWidth="1"/>
    <col min="4" max="4" width="10.7109375" style="6" customWidth="1"/>
    <col min="5" max="5" width="20.5703125" style="6" customWidth="1"/>
    <col min="6" max="6" width="17.140625" style="6" customWidth="1"/>
    <col min="7" max="10" width="11.85546875" style="6" bestFit="1" customWidth="1"/>
    <col min="11" max="11" width="9.140625" style="1"/>
    <col min="12" max="12" width="46.28515625" style="1" bestFit="1" customWidth="1"/>
    <col min="13" max="18" width="9.140625" style="1"/>
    <col min="19" max="16384" width="9.140625" style="6"/>
  </cols>
  <sheetData>
    <row r="1" spans="1:18" ht="15.75" x14ac:dyDescent="0.25">
      <c r="A1" s="4">
        <v>4.3</v>
      </c>
      <c r="B1" s="5" t="s">
        <v>95</v>
      </c>
    </row>
    <row r="2" spans="1:18" x14ac:dyDescent="0.2">
      <c r="B2" s="8"/>
    </row>
    <row r="3" spans="1:18" x14ac:dyDescent="0.2">
      <c r="B3" s="93" t="s">
        <v>28</v>
      </c>
      <c r="C3" s="185">
        <f>'4.1 FA - Basic Info'!C7</f>
        <v>0</v>
      </c>
      <c r="D3" s="7"/>
      <c r="E3" s="7"/>
      <c r="F3" s="7"/>
      <c r="J3" s="216"/>
    </row>
    <row r="4" spans="1:18" x14ac:dyDescent="0.2">
      <c r="B4" s="18"/>
      <c r="F4" s="83"/>
      <c r="G4" s="83"/>
      <c r="H4" s="83"/>
      <c r="I4" s="83"/>
      <c r="J4" s="216"/>
    </row>
    <row r="5" spans="1:18" x14ac:dyDescent="0.2">
      <c r="E5" s="8" t="s">
        <v>233</v>
      </c>
      <c r="F5" s="75" t="str">
        <f>+'4.2 FA - Students &amp; Income'!D5</f>
        <v>2017-18</v>
      </c>
      <c r="G5" s="75" t="str">
        <f>+'4.2 FA - Students &amp; Income'!E5</f>
        <v>2018-19</v>
      </c>
      <c r="H5" s="75" t="str">
        <f>+'4.2 FA - Students &amp; Income'!F5</f>
        <v>2019-20</v>
      </c>
      <c r="I5" s="75" t="str">
        <f>+'4.2 FA - Students &amp; Income'!G5</f>
        <v>2020-21</v>
      </c>
      <c r="J5" s="75" t="str">
        <f>+'4.2 FA - Students &amp; Income'!H5</f>
        <v>2021-22</v>
      </c>
    </row>
    <row r="6" spans="1:18" x14ac:dyDescent="0.2">
      <c r="A6" s="12" t="s">
        <v>89</v>
      </c>
      <c r="B6" s="8" t="s">
        <v>215</v>
      </c>
    </row>
    <row r="7" spans="1:18" x14ac:dyDescent="0.2">
      <c r="B7" s="6" t="s">
        <v>151</v>
      </c>
    </row>
    <row r="8" spans="1:18" x14ac:dyDescent="0.2">
      <c r="B8" s="6" t="s">
        <v>37</v>
      </c>
      <c r="C8" s="6" t="s">
        <v>32</v>
      </c>
      <c r="E8" s="65"/>
      <c r="F8" s="65"/>
      <c r="G8" s="65"/>
      <c r="H8" s="65"/>
      <c r="I8" s="65"/>
      <c r="J8" s="65"/>
      <c r="L8" s="60" t="s">
        <v>216</v>
      </c>
    </row>
    <row r="9" spans="1:18" x14ac:dyDescent="0.2">
      <c r="C9" s="6" t="s">
        <v>35</v>
      </c>
      <c r="E9" s="69">
        <f>73302/1600</f>
        <v>45.813749999999999</v>
      </c>
      <c r="F9" s="69">
        <f t="shared" ref="F9:J9" si="0">73302/1600</f>
        <v>45.813749999999999</v>
      </c>
      <c r="G9" s="69">
        <f t="shared" si="0"/>
        <v>45.813749999999999</v>
      </c>
      <c r="H9" s="69">
        <f t="shared" si="0"/>
        <v>45.813749999999999</v>
      </c>
      <c r="I9" s="69">
        <f t="shared" si="0"/>
        <v>45.813749999999999</v>
      </c>
      <c r="J9" s="69">
        <f t="shared" si="0"/>
        <v>45.813749999999999</v>
      </c>
      <c r="L9" s="182" t="s">
        <v>313</v>
      </c>
    </row>
    <row r="10" spans="1:18" x14ac:dyDescent="0.2">
      <c r="E10" s="2"/>
      <c r="F10" s="2"/>
      <c r="G10" s="2"/>
      <c r="H10" s="2"/>
      <c r="I10" s="2"/>
      <c r="J10" s="2"/>
    </row>
    <row r="11" spans="1:18" x14ac:dyDescent="0.2">
      <c r="B11" s="6" t="s">
        <v>33</v>
      </c>
      <c r="C11" s="6" t="s">
        <v>32</v>
      </c>
      <c r="E11" s="65"/>
      <c r="F11" s="65"/>
      <c r="G11" s="65"/>
      <c r="H11" s="65"/>
      <c r="I11" s="65"/>
      <c r="J11" s="65"/>
      <c r="L11" s="182"/>
    </row>
    <row r="12" spans="1:18" x14ac:dyDescent="0.2">
      <c r="C12" s="6" t="s">
        <v>35</v>
      </c>
      <c r="E12" s="69">
        <f>61242/1600</f>
        <v>38.276249999999997</v>
      </c>
      <c r="F12" s="69">
        <f t="shared" ref="F12:J12" si="1">61242/1600</f>
        <v>38.276249999999997</v>
      </c>
      <c r="G12" s="69">
        <f t="shared" si="1"/>
        <v>38.276249999999997</v>
      </c>
      <c r="H12" s="69">
        <f t="shared" si="1"/>
        <v>38.276249999999997</v>
      </c>
      <c r="I12" s="69">
        <f t="shared" si="1"/>
        <v>38.276249999999997</v>
      </c>
      <c r="J12" s="69">
        <f t="shared" si="1"/>
        <v>38.276249999999997</v>
      </c>
      <c r="L12" s="182"/>
    </row>
    <row r="13" spans="1:18" s="11" customFormat="1" x14ac:dyDescent="0.2">
      <c r="E13" s="2"/>
      <c r="F13" s="2"/>
      <c r="G13" s="2"/>
      <c r="H13" s="2"/>
      <c r="I13" s="2"/>
      <c r="J13" s="2"/>
      <c r="K13" s="3"/>
      <c r="L13" s="3"/>
      <c r="M13" s="3"/>
      <c r="N13" s="3"/>
      <c r="O13" s="3"/>
      <c r="P13" s="3"/>
      <c r="Q13" s="3"/>
      <c r="R13" s="3"/>
    </row>
    <row r="14" spans="1:18" x14ac:dyDescent="0.2">
      <c r="B14" s="6" t="s">
        <v>34</v>
      </c>
      <c r="C14" s="6" t="s">
        <v>32</v>
      </c>
      <c r="E14" s="65"/>
      <c r="F14" s="65"/>
      <c r="G14" s="65"/>
      <c r="H14" s="65"/>
      <c r="I14" s="65"/>
      <c r="J14" s="65"/>
    </row>
    <row r="15" spans="1:18" x14ac:dyDescent="0.2">
      <c r="C15" s="6" t="s">
        <v>35</v>
      </c>
      <c r="E15" s="69">
        <f>46724/1600</f>
        <v>29.202500000000001</v>
      </c>
      <c r="F15" s="69">
        <f t="shared" ref="F15:J15" si="2">46724/1600</f>
        <v>29.202500000000001</v>
      </c>
      <c r="G15" s="69">
        <f t="shared" si="2"/>
        <v>29.202500000000001</v>
      </c>
      <c r="H15" s="69">
        <f t="shared" si="2"/>
        <v>29.202500000000001</v>
      </c>
      <c r="I15" s="69">
        <f t="shared" si="2"/>
        <v>29.202500000000001</v>
      </c>
      <c r="J15" s="69">
        <f t="shared" si="2"/>
        <v>29.202500000000001</v>
      </c>
    </row>
    <row r="16" spans="1:18" x14ac:dyDescent="0.2">
      <c r="E16" s="1"/>
      <c r="F16" s="1"/>
      <c r="G16" s="1"/>
      <c r="H16" s="1"/>
      <c r="I16" s="1"/>
      <c r="J16" s="1"/>
    </row>
    <row r="17" spans="1:18" x14ac:dyDescent="0.2">
      <c r="B17" s="6" t="s">
        <v>329</v>
      </c>
      <c r="C17" s="12" t="s">
        <v>5</v>
      </c>
      <c r="E17" s="65"/>
      <c r="F17" s="65"/>
      <c r="G17" s="65"/>
      <c r="H17" s="65"/>
      <c r="I17" s="65"/>
      <c r="J17" s="65"/>
      <c r="L17" s="182" t="s">
        <v>330</v>
      </c>
    </row>
    <row r="18" spans="1:18" x14ac:dyDescent="0.2">
      <c r="C18" s="6" t="s">
        <v>7</v>
      </c>
      <c r="E18" s="94">
        <v>36000</v>
      </c>
      <c r="F18" s="94">
        <v>36000</v>
      </c>
      <c r="G18" s="94">
        <v>36000</v>
      </c>
      <c r="H18" s="94">
        <v>36000</v>
      </c>
      <c r="I18" s="94">
        <v>36000</v>
      </c>
      <c r="J18" s="94">
        <v>36000</v>
      </c>
    </row>
    <row r="20" spans="1:18" x14ac:dyDescent="0.2">
      <c r="A20" s="12" t="s">
        <v>90</v>
      </c>
      <c r="B20" s="8" t="s">
        <v>218</v>
      </c>
    </row>
    <row r="21" spans="1:18" x14ac:dyDescent="0.2">
      <c r="B21" s="6" t="s">
        <v>151</v>
      </c>
    </row>
    <row r="22" spans="1:18" x14ac:dyDescent="0.2">
      <c r="B22" s="6" t="s">
        <v>37</v>
      </c>
      <c r="C22" s="6" t="s">
        <v>32</v>
      </c>
      <c r="E22" s="65"/>
      <c r="F22" s="65"/>
      <c r="G22" s="65"/>
      <c r="H22" s="65"/>
      <c r="I22" s="65"/>
      <c r="J22" s="65"/>
      <c r="L22" s="60" t="s">
        <v>216</v>
      </c>
    </row>
    <row r="23" spans="1:18" x14ac:dyDescent="0.2">
      <c r="C23" s="6" t="s">
        <v>35</v>
      </c>
      <c r="E23" s="69">
        <f>E9</f>
        <v>45.813749999999999</v>
      </c>
      <c r="F23" s="69">
        <f t="shared" ref="F23:J23" si="3">F9</f>
        <v>45.813749999999999</v>
      </c>
      <c r="G23" s="69">
        <f t="shared" si="3"/>
        <v>45.813749999999999</v>
      </c>
      <c r="H23" s="69">
        <f t="shared" si="3"/>
        <v>45.813749999999999</v>
      </c>
      <c r="I23" s="69">
        <f t="shared" si="3"/>
        <v>45.813749999999999</v>
      </c>
      <c r="J23" s="69">
        <f t="shared" si="3"/>
        <v>45.813749999999999</v>
      </c>
    </row>
    <row r="24" spans="1:18" x14ac:dyDescent="0.2">
      <c r="E24" s="2"/>
      <c r="F24" s="2"/>
      <c r="G24" s="2"/>
      <c r="H24" s="2"/>
      <c r="I24" s="2"/>
      <c r="J24" s="2"/>
    </row>
    <row r="25" spans="1:18" x14ac:dyDescent="0.2">
      <c r="B25" s="6" t="s">
        <v>33</v>
      </c>
      <c r="C25" s="6" t="s">
        <v>32</v>
      </c>
      <c r="E25" s="65"/>
      <c r="F25" s="65"/>
      <c r="G25" s="65"/>
      <c r="H25" s="65"/>
      <c r="I25" s="65"/>
      <c r="J25" s="65"/>
    </row>
    <row r="26" spans="1:18" x14ac:dyDescent="0.2">
      <c r="C26" s="6" t="s">
        <v>35</v>
      </c>
      <c r="E26" s="69">
        <f>E12</f>
        <v>38.276249999999997</v>
      </c>
      <c r="F26" s="69">
        <f t="shared" ref="F26:J26" si="4">F12</f>
        <v>38.276249999999997</v>
      </c>
      <c r="G26" s="69">
        <f t="shared" si="4"/>
        <v>38.276249999999997</v>
      </c>
      <c r="H26" s="69">
        <f t="shared" si="4"/>
        <v>38.276249999999997</v>
      </c>
      <c r="I26" s="69">
        <f t="shared" si="4"/>
        <v>38.276249999999997</v>
      </c>
      <c r="J26" s="69">
        <f t="shared" si="4"/>
        <v>38.276249999999997</v>
      </c>
    </row>
    <row r="27" spans="1:18" s="11" customFormat="1" x14ac:dyDescent="0.2">
      <c r="E27" s="2"/>
      <c r="F27" s="2"/>
      <c r="G27" s="2"/>
      <c r="H27" s="2"/>
      <c r="I27" s="2"/>
      <c r="J27" s="2"/>
      <c r="K27" s="3"/>
      <c r="L27" s="3"/>
      <c r="M27" s="3"/>
      <c r="N27" s="3"/>
      <c r="O27" s="3"/>
      <c r="P27" s="3"/>
      <c r="Q27" s="3"/>
      <c r="R27" s="3"/>
    </row>
    <row r="28" spans="1:18" x14ac:dyDescent="0.2">
      <c r="B28" s="6" t="s">
        <v>34</v>
      </c>
      <c r="C28" s="6" t="s">
        <v>32</v>
      </c>
      <c r="E28" s="65"/>
      <c r="F28" s="65"/>
      <c r="G28" s="65"/>
      <c r="H28" s="65"/>
      <c r="I28" s="65"/>
      <c r="J28" s="65"/>
    </row>
    <row r="29" spans="1:18" x14ac:dyDescent="0.2">
      <c r="C29" s="6" t="s">
        <v>35</v>
      </c>
      <c r="E29" s="69">
        <f>E15</f>
        <v>29.202500000000001</v>
      </c>
      <c r="F29" s="69">
        <f t="shared" ref="F29:J29" si="5">F15</f>
        <v>29.202500000000001</v>
      </c>
      <c r="G29" s="69">
        <f t="shared" si="5"/>
        <v>29.202500000000001</v>
      </c>
      <c r="H29" s="69">
        <f t="shared" si="5"/>
        <v>29.202500000000001</v>
      </c>
      <c r="I29" s="69">
        <f t="shared" si="5"/>
        <v>29.202500000000001</v>
      </c>
      <c r="J29" s="69">
        <f t="shared" si="5"/>
        <v>29.202500000000001</v>
      </c>
    </row>
    <row r="30" spans="1:18" x14ac:dyDescent="0.2">
      <c r="E30" s="1"/>
      <c r="F30" s="1"/>
      <c r="G30" s="1"/>
      <c r="H30" s="1"/>
      <c r="I30" s="1"/>
      <c r="J30" s="1"/>
    </row>
    <row r="31" spans="1:18" x14ac:dyDescent="0.2">
      <c r="B31" s="6" t="s">
        <v>329</v>
      </c>
      <c r="C31" s="6" t="s">
        <v>5</v>
      </c>
      <c r="E31" s="65"/>
      <c r="F31" s="65"/>
      <c r="G31" s="65"/>
      <c r="H31" s="65"/>
      <c r="I31" s="65"/>
      <c r="J31" s="65"/>
      <c r="L31" s="1" t="s">
        <v>217</v>
      </c>
    </row>
    <row r="32" spans="1:18" x14ac:dyDescent="0.2">
      <c r="C32" s="6" t="s">
        <v>7</v>
      </c>
      <c r="E32" s="94">
        <f>E18</f>
        <v>36000</v>
      </c>
      <c r="F32" s="94">
        <f t="shared" ref="F32:J32" si="6">F18</f>
        <v>36000</v>
      </c>
      <c r="G32" s="94">
        <f t="shared" si="6"/>
        <v>36000</v>
      </c>
      <c r="H32" s="94">
        <f t="shared" si="6"/>
        <v>36000</v>
      </c>
      <c r="I32" s="94">
        <f t="shared" si="6"/>
        <v>36000</v>
      </c>
      <c r="J32" s="94">
        <f t="shared" si="6"/>
        <v>36000</v>
      </c>
    </row>
    <row r="34" spans="1:10" x14ac:dyDescent="0.2">
      <c r="A34" s="12" t="s">
        <v>91</v>
      </c>
      <c r="B34" s="18" t="s">
        <v>219</v>
      </c>
    </row>
    <row r="35" spans="1:10" x14ac:dyDescent="0.2">
      <c r="B35" s="6" t="s">
        <v>220</v>
      </c>
      <c r="E35" s="95">
        <f>+E8+E11+E14+E22+E25+E28</f>
        <v>0</v>
      </c>
      <c r="F35" s="95">
        <f t="shared" ref="F35:J35" si="7">+F8+F11+F14+F22+F25+F28</f>
        <v>0</v>
      </c>
      <c r="G35" s="95">
        <f t="shared" si="7"/>
        <v>0</v>
      </c>
      <c r="H35" s="95">
        <f t="shared" si="7"/>
        <v>0</v>
      </c>
      <c r="I35" s="95">
        <f t="shared" si="7"/>
        <v>0</v>
      </c>
      <c r="J35" s="95">
        <f t="shared" si="7"/>
        <v>0</v>
      </c>
    </row>
    <row r="36" spans="1:10" x14ac:dyDescent="0.2">
      <c r="B36" s="6" t="s">
        <v>36</v>
      </c>
      <c r="E36" s="95">
        <f>+E31+E17</f>
        <v>0</v>
      </c>
      <c r="F36" s="95">
        <f t="shared" ref="F36:J36" si="8">+F31+F17</f>
        <v>0</v>
      </c>
      <c r="G36" s="95">
        <f t="shared" si="8"/>
        <v>0</v>
      </c>
      <c r="H36" s="95">
        <f t="shared" si="8"/>
        <v>0</v>
      </c>
      <c r="I36" s="95">
        <f t="shared" si="8"/>
        <v>0</v>
      </c>
      <c r="J36" s="95">
        <f t="shared" si="8"/>
        <v>0</v>
      </c>
    </row>
    <row r="37" spans="1:10" x14ac:dyDescent="0.2">
      <c r="F37" s="14"/>
      <c r="G37" s="14"/>
      <c r="H37" s="14"/>
      <c r="I37" s="14"/>
      <c r="J37" s="14"/>
    </row>
    <row r="38" spans="1:10" x14ac:dyDescent="0.2">
      <c r="B38" s="6" t="s">
        <v>20</v>
      </c>
      <c r="C38" s="12" t="s">
        <v>221</v>
      </c>
      <c r="E38" s="15">
        <f t="shared" ref="E38:J38" si="9">(E8*E9)+(E11*E12)+(E14*E15)</f>
        <v>0</v>
      </c>
      <c r="F38" s="15">
        <f t="shared" si="9"/>
        <v>0</v>
      </c>
      <c r="G38" s="15">
        <f t="shared" si="9"/>
        <v>0</v>
      </c>
      <c r="H38" s="15">
        <f t="shared" si="9"/>
        <v>0</v>
      </c>
      <c r="I38" s="15">
        <f t="shared" si="9"/>
        <v>0</v>
      </c>
      <c r="J38" s="15">
        <f t="shared" si="9"/>
        <v>0</v>
      </c>
    </row>
    <row r="39" spans="1:10" x14ac:dyDescent="0.2">
      <c r="B39" s="6" t="s">
        <v>20</v>
      </c>
      <c r="C39" s="12" t="s">
        <v>203</v>
      </c>
      <c r="E39" s="15">
        <f t="shared" ref="E39:J39" si="10">+(E22*E23)+(E25*E26)+(E28*E29)</f>
        <v>0</v>
      </c>
      <c r="F39" s="15">
        <f t="shared" si="10"/>
        <v>0</v>
      </c>
      <c r="G39" s="15">
        <f t="shared" si="10"/>
        <v>0</v>
      </c>
      <c r="H39" s="15">
        <f t="shared" si="10"/>
        <v>0</v>
      </c>
      <c r="I39" s="15">
        <f t="shared" si="10"/>
        <v>0</v>
      </c>
      <c r="J39" s="15">
        <f t="shared" si="10"/>
        <v>0</v>
      </c>
    </row>
    <row r="40" spans="1:10" x14ac:dyDescent="0.2">
      <c r="B40" s="6" t="s">
        <v>6</v>
      </c>
      <c r="C40" s="12" t="s">
        <v>221</v>
      </c>
      <c r="E40" s="15">
        <f t="shared" ref="E40:J40" si="11">E17*E18</f>
        <v>0</v>
      </c>
      <c r="F40" s="15">
        <f t="shared" si="11"/>
        <v>0</v>
      </c>
      <c r="G40" s="15">
        <f t="shared" si="11"/>
        <v>0</v>
      </c>
      <c r="H40" s="15">
        <f t="shared" si="11"/>
        <v>0</v>
      </c>
      <c r="I40" s="15">
        <f t="shared" si="11"/>
        <v>0</v>
      </c>
      <c r="J40" s="15">
        <f t="shared" si="11"/>
        <v>0</v>
      </c>
    </row>
    <row r="41" spans="1:10" x14ac:dyDescent="0.2">
      <c r="B41" s="6" t="s">
        <v>6</v>
      </c>
      <c r="C41" s="12" t="s">
        <v>203</v>
      </c>
      <c r="E41" s="15">
        <f t="shared" ref="E41:J41" si="12">+E31*E32</f>
        <v>0</v>
      </c>
      <c r="F41" s="15">
        <f t="shared" si="12"/>
        <v>0</v>
      </c>
      <c r="G41" s="15">
        <f t="shared" si="12"/>
        <v>0</v>
      </c>
      <c r="H41" s="15">
        <f t="shared" si="12"/>
        <v>0</v>
      </c>
      <c r="I41" s="15">
        <f t="shared" si="12"/>
        <v>0</v>
      </c>
      <c r="J41" s="15">
        <f t="shared" si="12"/>
        <v>0</v>
      </c>
    </row>
    <row r="42" spans="1:10" x14ac:dyDescent="0.2">
      <c r="B42" s="8" t="s">
        <v>222</v>
      </c>
      <c r="E42" s="20">
        <f t="shared" ref="E42:J42" si="13">ROUND(SUM(E38:E40),0)</f>
        <v>0</v>
      </c>
      <c r="F42" s="20">
        <f t="shared" si="13"/>
        <v>0</v>
      </c>
      <c r="G42" s="20">
        <f t="shared" si="13"/>
        <v>0</v>
      </c>
      <c r="H42" s="20">
        <f t="shared" si="13"/>
        <v>0</v>
      </c>
      <c r="I42" s="20">
        <f t="shared" si="13"/>
        <v>0</v>
      </c>
      <c r="J42" s="20">
        <f t="shared" si="13"/>
        <v>0</v>
      </c>
    </row>
    <row r="43" spans="1:10" x14ac:dyDescent="0.2">
      <c r="B43" s="56"/>
    </row>
    <row r="44" spans="1:10" x14ac:dyDescent="0.2">
      <c r="A44" s="12" t="s">
        <v>92</v>
      </c>
      <c r="B44" s="8" t="s">
        <v>223</v>
      </c>
      <c r="C44" s="8" t="s">
        <v>16</v>
      </c>
      <c r="D44" s="8"/>
      <c r="E44" s="8"/>
    </row>
    <row r="45" spans="1:10" x14ac:dyDescent="0.2">
      <c r="B45" s="6" t="s">
        <v>31</v>
      </c>
      <c r="C45" s="1" t="s">
        <v>17</v>
      </c>
      <c r="E45" s="97"/>
      <c r="F45" s="65"/>
      <c r="G45" s="65"/>
      <c r="H45" s="65"/>
      <c r="I45" s="65"/>
      <c r="J45" s="65"/>
    </row>
    <row r="46" spans="1:10" x14ac:dyDescent="0.2">
      <c r="B46" s="6" t="s">
        <v>8</v>
      </c>
      <c r="C46" s="1" t="s">
        <v>17</v>
      </c>
      <c r="E46" s="97"/>
      <c r="F46" s="65"/>
      <c r="G46" s="65"/>
      <c r="H46" s="65"/>
      <c r="I46" s="65"/>
      <c r="J46" s="65"/>
    </row>
    <row r="47" spans="1:10" x14ac:dyDescent="0.2">
      <c r="B47" s="6" t="s">
        <v>9</v>
      </c>
      <c r="C47" s="1" t="s">
        <v>17</v>
      </c>
      <c r="E47" s="97"/>
      <c r="F47" s="65"/>
      <c r="G47" s="65"/>
      <c r="H47" s="65"/>
      <c r="I47" s="65"/>
      <c r="J47" s="65"/>
    </row>
    <row r="48" spans="1:10" x14ac:dyDescent="0.2">
      <c r="B48" s="12" t="s">
        <v>115</v>
      </c>
      <c r="C48" s="1" t="s">
        <v>17</v>
      </c>
      <c r="E48" s="97"/>
      <c r="F48" s="65"/>
      <c r="G48" s="65"/>
      <c r="H48" s="65"/>
      <c r="I48" s="65"/>
      <c r="J48" s="65"/>
    </row>
    <row r="49" spans="1:10" x14ac:dyDescent="0.2">
      <c r="B49" s="8" t="s">
        <v>224</v>
      </c>
      <c r="E49" s="76">
        <f t="shared" ref="E49:J49" si="14">SUM(E45:E48)</f>
        <v>0</v>
      </c>
      <c r="F49" s="76">
        <f t="shared" si="14"/>
        <v>0</v>
      </c>
      <c r="G49" s="76">
        <f t="shared" si="14"/>
        <v>0</v>
      </c>
      <c r="H49" s="76">
        <f t="shared" si="14"/>
        <v>0</v>
      </c>
      <c r="I49" s="76">
        <f t="shared" si="14"/>
        <v>0</v>
      </c>
      <c r="J49" s="76">
        <f t="shared" si="14"/>
        <v>0</v>
      </c>
    </row>
    <row r="51" spans="1:10" x14ac:dyDescent="0.2">
      <c r="A51" s="12" t="s">
        <v>234</v>
      </c>
      <c r="B51" s="8" t="s">
        <v>235</v>
      </c>
      <c r="C51" s="8" t="s">
        <v>16</v>
      </c>
      <c r="D51" s="8"/>
      <c r="E51" s="8"/>
    </row>
    <row r="52" spans="1:10" x14ac:dyDescent="0.2">
      <c r="B52" s="183" t="s">
        <v>314</v>
      </c>
      <c r="C52" s="1" t="s">
        <v>17</v>
      </c>
      <c r="E52" s="65"/>
      <c r="F52" s="65"/>
      <c r="G52" s="65"/>
      <c r="H52" s="65"/>
      <c r="I52" s="65"/>
      <c r="J52" s="65"/>
    </row>
    <row r="53" spans="1:10" x14ac:dyDescent="0.2">
      <c r="B53" s="97"/>
      <c r="C53" s="1" t="s">
        <v>17</v>
      </c>
      <c r="E53" s="65"/>
      <c r="F53" s="65"/>
      <c r="G53" s="65"/>
      <c r="H53" s="65"/>
      <c r="I53" s="65"/>
      <c r="J53" s="65"/>
    </row>
    <row r="54" spans="1:10" x14ac:dyDescent="0.2">
      <c r="B54" s="97"/>
      <c r="C54" s="1" t="s">
        <v>17</v>
      </c>
      <c r="E54" s="65"/>
      <c r="F54" s="65"/>
      <c r="G54" s="65"/>
      <c r="H54" s="65"/>
      <c r="I54" s="65"/>
      <c r="J54" s="65"/>
    </row>
    <row r="55" spans="1:10" x14ac:dyDescent="0.2">
      <c r="B55" s="86"/>
      <c r="C55" s="1" t="s">
        <v>17</v>
      </c>
      <c r="E55" s="65"/>
      <c r="F55" s="65"/>
      <c r="G55" s="65"/>
      <c r="H55" s="65"/>
      <c r="I55" s="65"/>
      <c r="J55" s="65"/>
    </row>
    <row r="56" spans="1:10" x14ac:dyDescent="0.2">
      <c r="B56" s="8" t="s">
        <v>224</v>
      </c>
      <c r="E56" s="76">
        <f t="shared" ref="E56:J56" si="15">SUM(E52:E55)</f>
        <v>0</v>
      </c>
      <c r="F56" s="76">
        <f t="shared" si="15"/>
        <v>0</v>
      </c>
      <c r="G56" s="76">
        <f t="shared" si="15"/>
        <v>0</v>
      </c>
      <c r="H56" s="76">
        <f t="shared" si="15"/>
        <v>0</v>
      </c>
      <c r="I56" s="76">
        <f t="shared" si="15"/>
        <v>0</v>
      </c>
      <c r="J56" s="76">
        <f t="shared" si="15"/>
        <v>0</v>
      </c>
    </row>
    <row r="58" spans="1:10" x14ac:dyDescent="0.2">
      <c r="A58" s="12" t="s">
        <v>262</v>
      </c>
      <c r="B58" s="18" t="s">
        <v>10</v>
      </c>
      <c r="C58" s="8" t="s">
        <v>16</v>
      </c>
    </row>
    <row r="59" spans="1:10" x14ac:dyDescent="0.2">
      <c r="B59" s="12" t="s">
        <v>19</v>
      </c>
      <c r="D59" s="90"/>
      <c r="E59" s="90"/>
    </row>
    <row r="60" spans="1:10" x14ac:dyDescent="0.2">
      <c r="B60" s="65"/>
      <c r="C60" s="1" t="s">
        <v>17</v>
      </c>
      <c r="D60" s="1"/>
      <c r="E60" s="65"/>
      <c r="F60" s="65"/>
      <c r="G60" s="65"/>
      <c r="H60" s="65"/>
      <c r="I60" s="65"/>
      <c r="J60" s="65"/>
    </row>
    <row r="61" spans="1:10" x14ac:dyDescent="0.2">
      <c r="B61" s="65"/>
      <c r="C61" s="1" t="s">
        <v>18</v>
      </c>
      <c r="D61" s="1"/>
      <c r="E61" s="65"/>
      <c r="F61" s="65"/>
      <c r="G61" s="65"/>
      <c r="H61" s="65"/>
      <c r="I61" s="65"/>
      <c r="J61" s="65"/>
    </row>
    <row r="62" spans="1:10" x14ac:dyDescent="0.2">
      <c r="B62" s="65"/>
      <c r="C62" s="1" t="s">
        <v>17</v>
      </c>
      <c r="D62" s="1"/>
      <c r="E62" s="65"/>
      <c r="F62" s="65"/>
      <c r="G62" s="65"/>
      <c r="H62" s="65"/>
      <c r="I62" s="65"/>
      <c r="J62" s="65"/>
    </row>
    <row r="63" spans="1:10" x14ac:dyDescent="0.2">
      <c r="B63" s="65"/>
      <c r="C63" s="1" t="s">
        <v>17</v>
      </c>
      <c r="D63" s="1"/>
      <c r="E63" s="65"/>
      <c r="F63" s="65"/>
      <c r="G63" s="65"/>
      <c r="H63" s="65"/>
      <c r="I63" s="65"/>
      <c r="J63" s="65"/>
    </row>
    <row r="64" spans="1:10" x14ac:dyDescent="0.2">
      <c r="B64" s="65"/>
      <c r="C64" s="1" t="s">
        <v>17</v>
      </c>
      <c r="D64" s="1"/>
      <c r="E64" s="65"/>
      <c r="F64" s="65"/>
      <c r="G64" s="65"/>
      <c r="H64" s="65"/>
      <c r="I64" s="65"/>
      <c r="J64" s="65"/>
    </row>
    <row r="65" spans="1:12" x14ac:dyDescent="0.2">
      <c r="A65" s="10"/>
      <c r="B65" s="1" t="s">
        <v>29</v>
      </c>
      <c r="C65" s="1"/>
      <c r="D65" s="1"/>
      <c r="E65" s="1"/>
      <c r="F65" s="1"/>
      <c r="G65" s="1"/>
      <c r="H65" s="1"/>
      <c r="I65" s="1"/>
      <c r="J65" s="1"/>
    </row>
    <row r="66" spans="1:12" x14ac:dyDescent="0.2">
      <c r="B66" s="65"/>
      <c r="C66" s="1" t="s">
        <v>17</v>
      </c>
      <c r="D66" s="1"/>
      <c r="E66" s="65"/>
      <c r="F66" s="65"/>
      <c r="G66" s="65"/>
      <c r="H66" s="65"/>
      <c r="I66" s="65"/>
      <c r="J66" s="65"/>
    </row>
    <row r="67" spans="1:12" x14ac:dyDescent="0.2">
      <c r="B67" s="65"/>
      <c r="C67" s="1" t="s">
        <v>17</v>
      </c>
      <c r="D67" s="1"/>
      <c r="E67" s="65"/>
      <c r="F67" s="65"/>
      <c r="G67" s="65"/>
      <c r="H67" s="65"/>
      <c r="I67" s="65"/>
      <c r="J67" s="65"/>
    </row>
    <row r="68" spans="1:12" x14ac:dyDescent="0.2">
      <c r="B68" s="65"/>
      <c r="C68" s="1" t="s">
        <v>17</v>
      </c>
      <c r="D68" s="1"/>
      <c r="E68" s="65"/>
      <c r="F68" s="65"/>
      <c r="G68" s="65"/>
      <c r="H68" s="65"/>
      <c r="I68" s="65"/>
      <c r="J68" s="65"/>
    </row>
    <row r="69" spans="1:12" x14ac:dyDescent="0.2">
      <c r="B69" s="65"/>
      <c r="C69" s="1" t="s">
        <v>17</v>
      </c>
      <c r="D69" s="1"/>
      <c r="E69" s="65"/>
      <c r="F69" s="65"/>
      <c r="G69" s="65"/>
      <c r="H69" s="65"/>
      <c r="I69" s="65"/>
      <c r="J69" s="65"/>
    </row>
    <row r="70" spans="1:12" x14ac:dyDescent="0.2">
      <c r="A70" s="13"/>
      <c r="B70" s="1" t="s">
        <v>11</v>
      </c>
      <c r="C70" s="1"/>
      <c r="D70" s="1"/>
      <c r="E70" s="1"/>
      <c r="F70" s="1"/>
      <c r="G70" s="1"/>
      <c r="H70" s="1"/>
      <c r="I70" s="1"/>
      <c r="J70" s="1"/>
    </row>
    <row r="71" spans="1:12" x14ac:dyDescent="0.2">
      <c r="B71" s="65"/>
      <c r="C71" s="1" t="s">
        <v>18</v>
      </c>
      <c r="D71" s="1"/>
      <c r="E71" s="65"/>
      <c r="F71" s="65"/>
      <c r="G71" s="65"/>
      <c r="H71" s="65"/>
      <c r="I71" s="65"/>
      <c r="J71" s="65"/>
    </row>
    <row r="72" spans="1:12" x14ac:dyDescent="0.2">
      <c r="B72" s="65"/>
      <c r="C72" s="1" t="s">
        <v>17</v>
      </c>
      <c r="D72" s="1"/>
      <c r="E72" s="65"/>
      <c r="F72" s="65"/>
      <c r="G72" s="65"/>
      <c r="H72" s="65"/>
      <c r="I72" s="65"/>
      <c r="J72" s="65"/>
    </row>
    <row r="73" spans="1:12" x14ac:dyDescent="0.2">
      <c r="B73" s="65"/>
      <c r="C73" s="1" t="s">
        <v>17</v>
      </c>
      <c r="D73" s="1"/>
      <c r="E73" s="65"/>
      <c r="F73" s="65"/>
      <c r="G73" s="65"/>
      <c r="H73" s="65"/>
      <c r="I73" s="65"/>
      <c r="J73" s="65"/>
    </row>
    <row r="74" spans="1:12" x14ac:dyDescent="0.2">
      <c r="B74" s="65"/>
      <c r="C74" s="1" t="s">
        <v>17</v>
      </c>
      <c r="D74" s="1"/>
      <c r="E74" s="65"/>
      <c r="F74" s="65"/>
      <c r="G74" s="65"/>
      <c r="H74" s="65"/>
      <c r="I74" s="65"/>
      <c r="J74" s="65"/>
    </row>
    <row r="75" spans="1:12" x14ac:dyDescent="0.2">
      <c r="B75" s="1" t="s">
        <v>38</v>
      </c>
      <c r="C75" s="1"/>
      <c r="D75" s="19"/>
      <c r="E75" s="1"/>
      <c r="F75" s="1"/>
      <c r="G75" s="1"/>
      <c r="H75" s="1"/>
      <c r="I75" s="1"/>
      <c r="J75" s="1"/>
    </row>
    <row r="76" spans="1:12" x14ac:dyDescent="0.2">
      <c r="B76" s="65" t="s">
        <v>315</v>
      </c>
      <c r="C76" s="1" t="s">
        <v>17</v>
      </c>
      <c r="D76" s="19"/>
      <c r="E76" s="65"/>
      <c r="F76" s="95"/>
      <c r="G76" s="95"/>
      <c r="H76" s="95"/>
      <c r="I76" s="95"/>
      <c r="J76" s="95"/>
      <c r="L76" s="182"/>
    </row>
    <row r="77" spans="1:12" x14ac:dyDescent="0.2">
      <c r="B77" s="65" t="s">
        <v>316</v>
      </c>
      <c r="C77" s="1" t="s">
        <v>17</v>
      </c>
      <c r="D77" s="19"/>
      <c r="E77" s="65">
        <v>2000</v>
      </c>
      <c r="F77" s="95"/>
      <c r="G77" s="95"/>
      <c r="H77" s="95"/>
      <c r="I77" s="95"/>
      <c r="J77" s="95"/>
    </row>
    <row r="78" spans="1:12" x14ac:dyDescent="0.2">
      <c r="B78" s="1" t="s">
        <v>225</v>
      </c>
      <c r="C78" s="1"/>
      <c r="D78" s="19"/>
      <c r="E78" s="1"/>
      <c r="F78" s="1"/>
      <c r="G78" s="1"/>
      <c r="H78" s="1"/>
      <c r="I78" s="1"/>
      <c r="J78" s="1"/>
    </row>
    <row r="79" spans="1:12" x14ac:dyDescent="0.2">
      <c r="B79" s="65"/>
      <c r="C79" s="1" t="s">
        <v>18</v>
      </c>
      <c r="D79" s="1"/>
      <c r="E79" s="65"/>
      <c r="F79" s="65"/>
      <c r="G79" s="65"/>
      <c r="H79" s="65"/>
      <c r="I79" s="65"/>
      <c r="J79" s="65"/>
    </row>
    <row r="80" spans="1:12" x14ac:dyDescent="0.2">
      <c r="B80" s="65"/>
      <c r="C80" s="1" t="s">
        <v>17</v>
      </c>
      <c r="D80" s="1"/>
      <c r="E80" s="65"/>
      <c r="F80" s="65"/>
      <c r="G80" s="65"/>
      <c r="H80" s="65"/>
      <c r="I80" s="65"/>
      <c r="J80" s="65"/>
    </row>
    <row r="81" spans="1:10" x14ac:dyDescent="0.2">
      <c r="B81" s="65"/>
      <c r="C81" s="1" t="s">
        <v>18</v>
      </c>
      <c r="D81" s="1"/>
      <c r="E81" s="65"/>
      <c r="F81" s="65"/>
      <c r="G81" s="65"/>
      <c r="H81" s="65"/>
      <c r="I81" s="65"/>
      <c r="J81" s="65"/>
    </row>
    <row r="82" spans="1:10" x14ac:dyDescent="0.2">
      <c r="B82" s="65"/>
      <c r="C82" s="1" t="s">
        <v>17</v>
      </c>
      <c r="D82" s="1"/>
      <c r="E82" s="65"/>
      <c r="F82" s="65"/>
      <c r="G82" s="65"/>
      <c r="H82" s="65"/>
      <c r="I82" s="65"/>
      <c r="J82" s="65"/>
    </row>
    <row r="83" spans="1:10" x14ac:dyDescent="0.2">
      <c r="B83" s="65"/>
      <c r="C83" s="1" t="s">
        <v>18</v>
      </c>
      <c r="D83" s="1"/>
      <c r="E83" s="65"/>
      <c r="F83" s="65"/>
      <c r="G83" s="65"/>
      <c r="H83" s="65"/>
      <c r="I83" s="65"/>
      <c r="J83" s="65"/>
    </row>
    <row r="84" spans="1:10" x14ac:dyDescent="0.2">
      <c r="B84" s="65"/>
      <c r="C84" s="1" t="s">
        <v>17</v>
      </c>
      <c r="D84" s="1"/>
      <c r="E84" s="65"/>
      <c r="F84" s="65"/>
      <c r="G84" s="65"/>
      <c r="H84" s="65"/>
      <c r="I84" s="65"/>
      <c r="J84" s="65"/>
    </row>
    <row r="85" spans="1:10" x14ac:dyDescent="0.2">
      <c r="B85" s="65"/>
      <c r="C85" s="1" t="s">
        <v>18</v>
      </c>
      <c r="D85" s="1"/>
      <c r="E85" s="65"/>
      <c r="F85" s="65"/>
      <c r="G85" s="65"/>
      <c r="H85" s="65"/>
      <c r="I85" s="65"/>
      <c r="J85" s="65"/>
    </row>
    <row r="86" spans="1:10" x14ac:dyDescent="0.2">
      <c r="B86" s="65"/>
      <c r="C86" s="1" t="s">
        <v>17</v>
      </c>
      <c r="D86" s="1"/>
      <c r="E86" s="65"/>
      <c r="F86" s="65"/>
      <c r="G86" s="65"/>
      <c r="H86" s="65"/>
      <c r="I86" s="65"/>
      <c r="J86" s="65"/>
    </row>
    <row r="87" spans="1:10" x14ac:dyDescent="0.2">
      <c r="B87" s="65"/>
      <c r="C87" s="1" t="s">
        <v>18</v>
      </c>
      <c r="D87" s="1"/>
      <c r="E87" s="65"/>
      <c r="F87" s="65"/>
      <c r="G87" s="65"/>
      <c r="H87" s="65"/>
      <c r="I87" s="65"/>
      <c r="J87" s="65"/>
    </row>
    <row r="88" spans="1:10" x14ac:dyDescent="0.2">
      <c r="B88" s="8" t="s">
        <v>226</v>
      </c>
      <c r="E88" s="78">
        <f>SUM(E60:E87)-E76-E77</f>
        <v>0</v>
      </c>
      <c r="F88" s="78">
        <f>SUM(F60:F87)</f>
        <v>0</v>
      </c>
      <c r="G88" s="78">
        <f>SUM(G60:G87)</f>
        <v>0</v>
      </c>
      <c r="H88" s="78">
        <f>SUM(H60:H87)</f>
        <v>0</v>
      </c>
      <c r="I88" s="78">
        <f>SUM(I60:I87)</f>
        <v>0</v>
      </c>
      <c r="J88" s="78">
        <f>SUM(J60:J87)</f>
        <v>0</v>
      </c>
    </row>
    <row r="90" spans="1:10" x14ac:dyDescent="0.2">
      <c r="A90" s="12" t="s">
        <v>264</v>
      </c>
      <c r="B90" s="8" t="s">
        <v>227</v>
      </c>
      <c r="E90" s="96">
        <f>+E88+E42+E49+E56</f>
        <v>0</v>
      </c>
      <c r="F90" s="96">
        <f>+F88+F42+F49</f>
        <v>0</v>
      </c>
      <c r="G90" s="96">
        <f>+G88+G42+G49</f>
        <v>0</v>
      </c>
      <c r="H90" s="96">
        <f>+H88+H42+H49</f>
        <v>0</v>
      </c>
      <c r="I90" s="96">
        <f>+I88+I42+I49</f>
        <v>0</v>
      </c>
      <c r="J90" s="96">
        <f>+J88+J42+J49</f>
        <v>0</v>
      </c>
    </row>
    <row r="92" spans="1:10" x14ac:dyDescent="0.2">
      <c r="A92" s="12" t="s">
        <v>263</v>
      </c>
      <c r="B92" s="8" t="s">
        <v>228</v>
      </c>
    </row>
    <row r="93" spans="1:10" x14ac:dyDescent="0.2">
      <c r="B93" s="6" t="s">
        <v>229</v>
      </c>
      <c r="C93" s="6" t="s">
        <v>17</v>
      </c>
      <c r="D93" s="12" t="s">
        <v>221</v>
      </c>
      <c r="E93" s="15">
        <f t="shared" ref="E93:J93" si="16">SUMIF($C$60:$C$87,$C93,E$60:E$87)+SUMIF($C$45:$C$48,$C93,E$45:E$48)+SUMIF($C$38:$C$41,$D$93,E38:E41)</f>
        <v>2000</v>
      </c>
      <c r="F93" s="15">
        <f t="shared" si="16"/>
        <v>0</v>
      </c>
      <c r="G93" s="15">
        <f t="shared" si="16"/>
        <v>0</v>
      </c>
      <c r="H93" s="15">
        <f t="shared" si="16"/>
        <v>0</v>
      </c>
      <c r="I93" s="15">
        <f t="shared" si="16"/>
        <v>0</v>
      </c>
      <c r="J93" s="15">
        <f t="shared" si="16"/>
        <v>0</v>
      </c>
    </row>
    <row r="94" spans="1:10" x14ac:dyDescent="0.2">
      <c r="B94" s="6" t="s">
        <v>230</v>
      </c>
      <c r="C94" s="6" t="s">
        <v>18</v>
      </c>
      <c r="D94" s="12" t="s">
        <v>203</v>
      </c>
      <c r="E94" s="15">
        <f t="shared" ref="E94:J94" si="17">SUMIF($C$60:$C$87,$C94,E$60:E$87)+SUMIF($C$45:$C$48,$C94,E$45:E$48)+SUMIF($C$38:$C$41,$D$94,E38:E41)</f>
        <v>0</v>
      </c>
      <c r="F94" s="15">
        <f t="shared" si="17"/>
        <v>0</v>
      </c>
      <c r="G94" s="15">
        <f t="shared" si="17"/>
        <v>0</v>
      </c>
      <c r="H94" s="15">
        <f t="shared" si="17"/>
        <v>0</v>
      </c>
      <c r="I94" s="15">
        <f t="shared" si="17"/>
        <v>0</v>
      </c>
      <c r="J94" s="15">
        <f t="shared" si="17"/>
        <v>0</v>
      </c>
    </row>
    <row r="95" spans="1:10" x14ac:dyDescent="0.2">
      <c r="B95" s="6" t="s">
        <v>231</v>
      </c>
      <c r="E95" s="20">
        <f t="shared" ref="E95:J95" si="18">SUM(E93:E94)</f>
        <v>2000</v>
      </c>
      <c r="F95" s="20">
        <f t="shared" si="18"/>
        <v>0</v>
      </c>
      <c r="G95" s="20">
        <f t="shared" si="18"/>
        <v>0</v>
      </c>
      <c r="H95" s="20">
        <f t="shared" si="18"/>
        <v>0</v>
      </c>
      <c r="I95" s="20">
        <f t="shared" si="18"/>
        <v>0</v>
      </c>
      <c r="J95" s="20">
        <f t="shared" si="18"/>
        <v>0</v>
      </c>
    </row>
    <row r="96" spans="1:10" x14ac:dyDescent="0.2">
      <c r="B96" s="12" t="s">
        <v>232</v>
      </c>
      <c r="E96" s="15"/>
      <c r="F96" s="15">
        <f>IFERROR(ROUND(F94/'4.2 FA - Students &amp; Income'!D40,0), 0)</f>
        <v>0</v>
      </c>
      <c r="G96" s="15">
        <f>IFERROR(ROUND(G94/'4.2 FA - Students &amp; Income'!E40,0), 0)</f>
        <v>0</v>
      </c>
      <c r="H96" s="15">
        <f>IFERROR(ROUND(H94/'4.2 FA - Students &amp; Income'!F40,0), 0)</f>
        <v>0</v>
      </c>
      <c r="I96" s="15">
        <f>IFERROR(ROUND(I94/'4.2 FA - Students &amp; Income'!G40,0), 0)</f>
        <v>0</v>
      </c>
      <c r="J96" s="15">
        <f>IFERROR(ROUND(J94/'4.2 FA - Students &amp; Income'!H40,0), 0)</f>
        <v>0</v>
      </c>
    </row>
  </sheetData>
  <mergeCells count="1">
    <mergeCell ref="J3:J4"/>
  </mergeCells>
  <phoneticPr fontId="0" type="noConversion"/>
  <dataValidations xWindow="984" yWindow="583" count="12">
    <dataValidation type="list" allowBlank="1" showInputMessage="1" showErrorMessage="1" promptTitle="Cost Behaviour" prompt="Indicate whether costs are fixed or whether they vary depending on number of students." sqref="C60:C64 C66:C69 C71:C74 C76:C77 C79:C87 C45:C48 C52:C55">
      <formula1>" Fixed,Variable"</formula1>
    </dataValidation>
    <dataValidation allowBlank="1" showInputMessage="1" showErrorMessage="1" promptTitle="Materials" prompt="Insert description" sqref="B60:B64"/>
    <dataValidation allowBlank="1" showInputMessage="1" showErrorMessage="1" promptTitle="Field Trip" prompt="Enter description of costs" sqref="B66:B69"/>
    <dataValidation allowBlank="1" showInputMessage="1" showErrorMessage="1" promptTitle="Equipment" prompt="Enter description of costs" sqref="B71:B74"/>
    <dataValidation allowBlank="1" showInputMessage="1" showErrorMessage="1" promptTitle="Other" prompt="Enter description of costs" sqref="B79:B87"/>
    <dataValidation type="decimal" allowBlank="1" showErrorMessage="1" promptTitle="Total number of WP Units" prompt="Input here the minimum of work loan planning units that will be allocated for this course to run the course assuming that the minimum number of students permitted enrol." sqref="E14:J14 E25:J25 E28:J28 E11:J11">
      <formula1>0</formula1>
      <formula2>165000</formula2>
    </dataValidation>
    <dataValidation type="decimal" allowBlank="1" showInputMessage="1" showErrorMessage="1" promptTitle="Cost of a WP Unit" prompt="Input here the cost of a FTE academic staff of sufficient grade to run the course including NI and SUP  divided by 1650 " sqref="E13:J13 E10:J10 E27:J27 E24:J24">
      <formula1>0</formula1>
      <formula2>40000</formula2>
    </dataValidation>
    <dataValidation type="decimal" allowBlank="1" showInputMessage="1" showErrorMessage="1" promptTitle="FTE of Staff to support" prompt="Input here the minimum admin staff requirement to run the course assuming that the minimum number of students permitted enrol." sqref="E31:J31 E17:J17">
      <formula1>0</formula1>
      <formula2>100</formula2>
    </dataValidation>
    <dataValidation type="whole" operator="greaterThanOrEqual" showInputMessage="1" showErrorMessage="1" promptTitle="Cost of a full FTE staff" prompt="Input here the cost of a FTE adminstrative staff of sufficient grade for the course including NI and SUP." sqref="E18:J18 E32:J32">
      <formula1>34451</formula1>
    </dataValidation>
    <dataValidation allowBlank="1" showInputMessage="1" showErrorMessage="1" promptTitle="Cost £" prompt="Enter amount in £s" sqref="F45:J49 E49 E52:J56"/>
    <dataValidation type="whole" errorStyle="warning" allowBlank="1" showInputMessage="1" showErrorMessage="1" errorTitle="Large  Amount" error="You hav eentered an amount over £100,000 or below 0.  Please check that this is correct" promptTitle="Cost in amout £" prompt="Input the amount or the total amount for the planned student numbers even if amount varies by students" sqref="F76:J77">
      <formula1>0</formula1>
      <formula2>100000</formula2>
    </dataValidation>
    <dataValidation allowBlank="1" showErrorMessage="1" promptTitle="AV" prompt="Enter description of costs" sqref="B76:B77"/>
  </dataValidations>
  <printOptions headings="1"/>
  <pageMargins left="0.75" right="0.75" top="1" bottom="1" header="0.5" footer="0.5"/>
  <pageSetup paperSize="9" scale="42" fitToHeight="0" orientation="portrait" r:id="rId1"/>
  <headerFooter alignWithMargins="0">
    <oddHeader>&amp;C&amp;"Arial,Bold"&amp;14&amp;F</oddHeader>
    <oddFooter>&amp;R&amp;P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J67"/>
  <sheetViews>
    <sheetView tabSelected="1" zoomScaleNormal="100" zoomScaleSheetLayoutView="70" workbookViewId="0">
      <selection activeCell="D18" sqref="D18"/>
    </sheetView>
  </sheetViews>
  <sheetFormatPr defaultRowHeight="12.75" x14ac:dyDescent="0.2"/>
  <cols>
    <col min="1" max="1" width="5.7109375" style="6" bestFit="1" customWidth="1"/>
    <col min="2" max="2" width="45.140625" style="6" bestFit="1" customWidth="1"/>
    <col min="3" max="3" width="14.140625" style="6" bestFit="1" customWidth="1"/>
    <col min="4" max="4" width="12.42578125" style="6" bestFit="1" customWidth="1"/>
    <col min="5" max="8" width="11.28515625" style="6" bestFit="1" customWidth="1"/>
    <col min="9" max="16384" width="9.140625" style="6"/>
  </cols>
  <sheetData>
    <row r="1" spans="1:10" ht="18" x14ac:dyDescent="0.25">
      <c r="A1" s="17">
        <v>4.4000000000000004</v>
      </c>
      <c r="B1" s="9" t="s">
        <v>93</v>
      </c>
      <c r="C1" s="9"/>
      <c r="G1" s="6" t="s">
        <v>27</v>
      </c>
      <c r="H1" s="23" t="str">
        <f>'4.1 FA - Basic Info'!C3</f>
        <v>2017-18</v>
      </c>
    </row>
    <row r="2" spans="1:10" ht="18" x14ac:dyDescent="0.25">
      <c r="B2" s="16"/>
      <c r="C2" s="16"/>
    </row>
    <row r="3" spans="1:10" x14ac:dyDescent="0.2">
      <c r="B3" s="6" t="s">
        <v>12</v>
      </c>
      <c r="D3" s="7">
        <f>+'4.1 FA - Basic Info'!C7</f>
        <v>0</v>
      </c>
      <c r="E3" s="7"/>
      <c r="F3" s="7"/>
      <c r="G3" s="7"/>
      <c r="H3" s="7"/>
    </row>
    <row r="4" spans="1:10" x14ac:dyDescent="0.2">
      <c r="D4" s="8"/>
      <c r="E4" s="8"/>
    </row>
    <row r="5" spans="1:10" x14ac:dyDescent="0.2">
      <c r="C5" s="8" t="s">
        <v>294</v>
      </c>
      <c r="D5" s="8" t="str">
        <f>+'4.3 FA - Staff &amp; Direct Costs'!F5</f>
        <v>2017-18</v>
      </c>
      <c r="E5" s="8" t="str">
        <f>+'4.3 FA - Staff &amp; Direct Costs'!G5</f>
        <v>2018-19</v>
      </c>
      <c r="F5" s="8" t="str">
        <f>+'4.3 FA - Staff &amp; Direct Costs'!H5</f>
        <v>2019-20</v>
      </c>
      <c r="G5" s="8" t="str">
        <f>+'4.3 FA - Staff &amp; Direct Costs'!I5</f>
        <v>2020-21</v>
      </c>
      <c r="H5" s="8" t="str">
        <f>+'4.3 FA - Staff &amp; Direct Costs'!J5</f>
        <v>2021-22</v>
      </c>
    </row>
    <row r="6" spans="1:10" x14ac:dyDescent="0.2">
      <c r="A6" s="12" t="s">
        <v>265</v>
      </c>
      <c r="B6" s="98" t="s">
        <v>152</v>
      </c>
      <c r="C6" s="112"/>
      <c r="D6" s="99" t="s">
        <v>14</v>
      </c>
      <c r="E6" s="99" t="s">
        <v>14</v>
      </c>
      <c r="F6" s="99" t="s">
        <v>14</v>
      </c>
      <c r="G6" s="99" t="s">
        <v>14</v>
      </c>
      <c r="H6" s="99" t="s">
        <v>14</v>
      </c>
      <c r="I6" s="100"/>
    </row>
    <row r="7" spans="1:10" x14ac:dyDescent="0.2">
      <c r="B7" s="103" t="s">
        <v>201</v>
      </c>
      <c r="C7" s="88">
        <f>+'4.2 FA - Students &amp; Income'!C118</f>
        <v>0</v>
      </c>
      <c r="D7" s="88">
        <f>+'4.2 FA - Students &amp; Income'!D118</f>
        <v>0</v>
      </c>
      <c r="E7" s="88">
        <f>+'4.2 FA - Students &amp; Income'!E118</f>
        <v>0</v>
      </c>
      <c r="F7" s="88">
        <f>+'4.2 FA - Students &amp; Income'!F118</f>
        <v>0</v>
      </c>
      <c r="G7" s="88">
        <f>+'4.2 FA - Students &amp; Income'!G118</f>
        <v>0</v>
      </c>
      <c r="H7" s="88">
        <f>+'4.2 FA - Students &amp; Income'!H118</f>
        <v>0</v>
      </c>
      <c r="I7" s="102"/>
    </row>
    <row r="8" spans="1:10" x14ac:dyDescent="0.2">
      <c r="B8" s="103" t="s">
        <v>213</v>
      </c>
      <c r="C8" s="88">
        <f>+'4.2 FA - Students &amp; Income'!C119</f>
        <v>0</v>
      </c>
      <c r="D8" s="88">
        <f>+'4.2 FA - Students &amp; Income'!D119</f>
        <v>0</v>
      </c>
      <c r="E8" s="88">
        <f>+'4.2 FA - Students &amp; Income'!E119</f>
        <v>0</v>
      </c>
      <c r="F8" s="88">
        <f>+'4.2 FA - Students &amp; Income'!F119</f>
        <v>0</v>
      </c>
      <c r="G8" s="88">
        <f>+'4.2 FA - Students &amp; Income'!G119</f>
        <v>0</v>
      </c>
      <c r="H8" s="88">
        <f>+'4.2 FA - Students &amp; Income'!H119</f>
        <v>0</v>
      </c>
      <c r="I8" s="102"/>
    </row>
    <row r="9" spans="1:10" x14ac:dyDescent="0.2">
      <c r="B9" s="103" t="s">
        <v>296</v>
      </c>
      <c r="C9" s="140">
        <f>SUM('4.2 FA - Students &amp; Income'!C120:C123)</f>
        <v>0</v>
      </c>
      <c r="D9" s="140">
        <f>SUM('4.2 FA - Students &amp; Income'!D120:D123)</f>
        <v>0</v>
      </c>
      <c r="E9" s="140">
        <f>SUM('4.2 FA - Students &amp; Income'!E120:E123)</f>
        <v>0</v>
      </c>
      <c r="F9" s="140">
        <f>SUM('4.2 FA - Students &amp; Income'!F120:F123)</f>
        <v>0</v>
      </c>
      <c r="G9" s="140">
        <f>SUM('4.2 FA - Students &amp; Income'!G120:G123)</f>
        <v>0</v>
      </c>
      <c r="H9" s="140">
        <f>SUM('4.2 FA - Students &amp; Income'!H120:H123)</f>
        <v>0</v>
      </c>
      <c r="I9" s="102"/>
    </row>
    <row r="10" spans="1:10" x14ac:dyDescent="0.2">
      <c r="B10" s="104" t="s">
        <v>205</v>
      </c>
      <c r="C10" s="136">
        <f t="shared" ref="C10:H10" si="0">SUM(C7:C9)</f>
        <v>0</v>
      </c>
      <c r="D10" s="136">
        <f t="shared" si="0"/>
        <v>0</v>
      </c>
      <c r="E10" s="136">
        <f t="shared" si="0"/>
        <v>0</v>
      </c>
      <c r="F10" s="136">
        <f t="shared" si="0"/>
        <v>0</v>
      </c>
      <c r="G10" s="136">
        <f t="shared" si="0"/>
        <v>0</v>
      </c>
      <c r="H10" s="136">
        <f t="shared" si="0"/>
        <v>0</v>
      </c>
      <c r="I10" s="102"/>
    </row>
    <row r="11" spans="1:10" x14ac:dyDescent="0.2">
      <c r="B11" s="101"/>
      <c r="C11" s="110"/>
      <c r="D11" s="105"/>
      <c r="E11" s="105"/>
      <c r="F11" s="105"/>
      <c r="G11" s="105"/>
      <c r="H11" s="105"/>
      <c r="I11" s="102"/>
    </row>
    <row r="12" spans="1:10" x14ac:dyDescent="0.2">
      <c r="A12" s="12" t="s">
        <v>299</v>
      </c>
      <c r="B12" s="104" t="s">
        <v>267</v>
      </c>
      <c r="C12" s="131"/>
      <c r="D12" s="105"/>
      <c r="E12" s="105"/>
      <c r="F12" s="105"/>
      <c r="G12" s="105"/>
      <c r="H12" s="105"/>
      <c r="I12" s="102"/>
    </row>
    <row r="13" spans="1:10" x14ac:dyDescent="0.2">
      <c r="B13" s="103" t="s">
        <v>236</v>
      </c>
      <c r="C13" s="88">
        <f>+'4.3 FA - Staff &amp; Direct Costs'!E38+'4.3 FA - Staff &amp; Direct Costs'!E40</f>
        <v>0</v>
      </c>
      <c r="D13" s="88">
        <f>+'4.3 FA - Staff &amp; Direct Costs'!F38</f>
        <v>0</v>
      </c>
      <c r="E13" s="88">
        <f>+'4.3 FA - Staff &amp; Direct Costs'!G38*'Overhead data'!C16</f>
        <v>0</v>
      </c>
      <c r="F13" s="88">
        <f>+'4.3 FA - Staff &amp; Direct Costs'!H38*'Overhead data'!D16</f>
        <v>0</v>
      </c>
      <c r="G13" s="88">
        <f>+'4.3 FA - Staff &amp; Direct Costs'!I38*'Overhead data'!E16</f>
        <v>0</v>
      </c>
      <c r="H13" s="88">
        <f>+'4.3 FA - Staff &amp; Direct Costs'!J38*'Overhead data'!F16</f>
        <v>0</v>
      </c>
      <c r="I13" s="102"/>
      <c r="J13" s="12"/>
    </row>
    <row r="14" spans="1:10" x14ac:dyDescent="0.2">
      <c r="B14" s="106" t="s">
        <v>237</v>
      </c>
      <c r="C14" s="88">
        <f>+'4.3 FA - Staff &amp; Direct Costs'!E39+'4.3 FA - Staff &amp; Direct Costs'!E41</f>
        <v>0</v>
      </c>
      <c r="D14" s="135">
        <f>+'4.3 FA - Staff &amp; Direct Costs'!E39+'4.3 FA - Staff &amp; Direct Costs'!F39</f>
        <v>0</v>
      </c>
      <c r="E14" s="135">
        <f>+'4.3 FA - Staff &amp; Direct Costs'!G39*'Overhead data'!C16</f>
        <v>0</v>
      </c>
      <c r="F14" s="135">
        <f>+'4.3 FA - Staff &amp; Direct Costs'!H39*'Overhead data'!D16</f>
        <v>0</v>
      </c>
      <c r="G14" s="135">
        <f>+'4.3 FA - Staff &amp; Direct Costs'!I39*'Overhead data'!E16</f>
        <v>0</v>
      </c>
      <c r="H14" s="135">
        <f>+'4.3 FA - Staff &amp; Direct Costs'!J39*'Overhead data'!F16</f>
        <v>0</v>
      </c>
      <c r="I14" s="102"/>
    </row>
    <row r="15" spans="1:10" x14ac:dyDescent="0.2">
      <c r="B15" s="106" t="s">
        <v>223</v>
      </c>
      <c r="C15" s="137">
        <f>+'4.3 FA - Staff &amp; Direct Costs'!E49</f>
        <v>0</v>
      </c>
      <c r="D15" s="137">
        <f>+'4.3 FA - Staff &amp; Direct Costs'!F49</f>
        <v>0</v>
      </c>
      <c r="E15" s="137">
        <f>ROUND(+'4.3 FA - Staff &amp; Direct Costs'!G49*'Overhead data'!C15,2)</f>
        <v>0</v>
      </c>
      <c r="F15" s="137">
        <f>ROUND(+'4.3 FA - Staff &amp; Direct Costs'!H49*'Overhead data'!D15,0)</f>
        <v>0</v>
      </c>
      <c r="G15" s="137">
        <f>ROUND(+'4.3 FA - Staff &amp; Direct Costs'!I49*'Overhead data'!E15,0)</f>
        <v>0</v>
      </c>
      <c r="H15" s="137">
        <f>ROUND(+'4.3 FA - Staff &amp; Direct Costs'!J49*'Overhead data'!F15,0)</f>
        <v>0</v>
      </c>
      <c r="I15" s="102"/>
    </row>
    <row r="16" spans="1:10" x14ac:dyDescent="0.2">
      <c r="B16" s="106" t="s">
        <v>266</v>
      </c>
      <c r="C16" s="137">
        <f>+'4.3 FA - Staff &amp; Direct Costs'!E56</f>
        <v>0</v>
      </c>
      <c r="D16" s="137">
        <f>+'4.3 FA - Staff &amp; Direct Costs'!F56</f>
        <v>0</v>
      </c>
      <c r="E16" s="137">
        <f>ROUND(+'4.3 FA - Staff &amp; Direct Costs'!G56*'Overhead data'!C15,2)</f>
        <v>0</v>
      </c>
      <c r="F16" s="137">
        <f>ROUND(+'4.3 FA - Staff &amp; Direct Costs'!H56*'Overhead data'!D15,2)</f>
        <v>0</v>
      </c>
      <c r="G16" s="137">
        <f>ROUND(+'4.3 FA - Staff &amp; Direct Costs'!I56*'Overhead data'!E15,2)</f>
        <v>0</v>
      </c>
      <c r="H16" s="137">
        <f>ROUND(+'4.3 FA - Staff &amp; Direct Costs'!J56*'Overhead data'!F15,2)</f>
        <v>0</v>
      </c>
      <c r="I16" s="102"/>
    </row>
    <row r="17" spans="1:10" x14ac:dyDescent="0.2">
      <c r="B17" s="101" t="s">
        <v>10</v>
      </c>
      <c r="C17" s="138">
        <f>+'4.3 FA - Staff &amp; Direct Costs'!E88</f>
        <v>0</v>
      </c>
      <c r="D17" s="138">
        <f>+'4.3 FA - Staff &amp; Direct Costs'!F88</f>
        <v>0</v>
      </c>
      <c r="E17" s="138">
        <f>+'4.3 FA - Staff &amp; Direct Costs'!G88*'Overhead data'!C15</f>
        <v>0</v>
      </c>
      <c r="F17" s="138">
        <f>+'4.3 FA - Staff &amp; Direct Costs'!H88*'Overhead data'!D15</f>
        <v>0</v>
      </c>
      <c r="G17" s="138">
        <f>+'4.3 FA - Staff &amp; Direct Costs'!I88*'Overhead data'!E15</f>
        <v>0</v>
      </c>
      <c r="H17" s="138">
        <f>+'4.3 FA - Staff &amp; Direct Costs'!J88*'Overhead data'!F15</f>
        <v>0</v>
      </c>
      <c r="I17" s="102"/>
    </row>
    <row r="18" spans="1:10" x14ac:dyDescent="0.2">
      <c r="A18" s="12" t="s">
        <v>300</v>
      </c>
      <c r="B18" s="103" t="s">
        <v>116</v>
      </c>
      <c r="C18" s="141"/>
      <c r="D18" s="141">
        <f>IF('4.1 FA - Basic Info'!$C$12="New",('Overhead data'!$B$4+'Overhead data'!$B$5+('Overhead data'!$B$7*('4.2 FA - Students &amp; Income'!D11+'4.2 FA - Students &amp; Income'!D19+'4.2 FA - Students &amp; Income'!D20+'4.2 FA - Students &amp; Income'!D21+'4.2 FA - Students &amp; Income'!D28+'4.2 FA - Students &amp; Income'!D36+'4.2 FA - Students &amp; Income'!D38))+'Overhead data'!$B$8+('Overhead data'!$B$10*-D7)),('Overhead data'!$B$4+'Overhead data'!$B$6+('Overhead data'!$B$7*('4.2 FA - Students &amp; Income'!D11+'4.2 FA - Students &amp; Income'!D19+'4.2 FA - Students &amp; Income'!D20+'4.2 FA - Students &amp; Income'!D21+'4.2 FA - Students &amp; Income'!D28+'4.2 FA - Students &amp; Income'!D36+'4.2 FA - Students &amp; Income'!D38))+'Overhead data'!$B$9+('Overhead data'!$B$10*-D7)))</f>
        <v>1018.229076</v>
      </c>
      <c r="E18" s="141">
        <f>(IF('4.1 FA - Basic Info'!$C$12="New",('Overhead data'!$B$4+'Overhead data'!$B$5+('Overhead data'!$B$7*('4.2 FA - Students &amp; Income'!E11+'4.2 FA - Students &amp; Income'!E19+'4.2 FA - Students &amp; Income'!E20+'4.2 FA - Students &amp; Income'!E21+'4.2 FA - Students &amp; Income'!E28+'4.2 FA - Students &amp; Income'!E36+'4.2 FA - Students &amp; Income'!E38))+'Overhead data'!$B$8+('Overhead data'!$B$10*-E7)),('Overhead data'!$B$4+'Overhead data'!$B$6+('Overhead data'!$B$7*('4.2 FA - Students &amp; Income'!E11+'4.2 FA - Students &amp; Income'!E19+'4.2 FA - Students &amp; Income'!E20+'4.2 FA - Students &amp; Income'!E21+'4.2 FA - Students &amp; Income'!E28+'4.2 FA - Students &amp; Income'!E36+'4.2 FA - Students &amp; Income'!E38))+'Overhead data'!$B$9+('Overhead data'!$B$10*-E7))))*'Overhead data'!C15</f>
        <v>1038.5936575200001</v>
      </c>
      <c r="F18" s="141">
        <f>(IF('4.1 FA - Basic Info'!$C$12="New",('Overhead data'!$B$4+'Overhead data'!$B$5+('Overhead data'!$B$7*('4.2 FA - Students &amp; Income'!F11+'4.2 FA - Students &amp; Income'!F19+'4.2 FA - Students &amp; Income'!F20+'4.2 FA - Students &amp; Income'!F21+'4.2 FA - Students &amp; Income'!F28+'4.2 FA - Students &amp; Income'!F36+'4.2 FA - Students &amp; Income'!F38))+'Overhead data'!$B$8+('Overhead data'!$B$10*-F7)),('Overhead data'!$B$4+'Overhead data'!$B$6+('Overhead data'!$B$7*('4.2 FA - Students &amp; Income'!F11+'4.2 FA - Students &amp; Income'!F19+'4.2 FA - Students &amp; Income'!F20+'4.2 FA - Students &amp; Income'!F21+'4.2 FA - Students &amp; Income'!F28+'4.2 FA - Students &amp; Income'!F36+'4.2 FA - Students &amp; Income'!F38))+'Overhead data'!$B$9+('Overhead data'!$B$10*-F7))))*'Overhead data'!D15</f>
        <v>1059.3655306703999</v>
      </c>
      <c r="G18" s="141">
        <f>(IF('4.1 FA - Basic Info'!$C$12="New",('Overhead data'!$B$4+'Overhead data'!$B$5+('Overhead data'!$B$7*('4.2 FA - Students &amp; Income'!G11+'4.2 FA - Students &amp; Income'!G19+'4.2 FA - Students &amp; Income'!G20+'4.2 FA - Students &amp; Income'!G21+'4.2 FA - Students &amp; Income'!G28+'4.2 FA - Students &amp; Income'!G36+'4.2 FA - Students &amp; Income'!G38))+'Overhead data'!$B$8+('Overhead data'!$B$10*-G7)),('Overhead data'!$B$4+'Overhead data'!$B$6+('Overhead data'!$B$7*('4.2 FA - Students &amp; Income'!G11+'4.2 FA - Students &amp; Income'!G19+'4.2 FA - Students &amp; Income'!G20+'4.2 FA - Students &amp; Income'!G21+'4.2 FA - Students &amp; Income'!G28+'4.2 FA - Students &amp; Income'!G36+'4.2 FA - Students &amp; Income'!G38))+'Overhead data'!$B$9+('Overhead data'!$B$10*-G7))))*'Overhead data'!E15</f>
        <v>1080.552841283808</v>
      </c>
      <c r="H18" s="141">
        <f>(IF('4.1 FA - Basic Info'!$C$12="New",('Overhead data'!$B$4+'Overhead data'!$B$5+('Overhead data'!$B$7*('4.2 FA - Students &amp; Income'!H11+'4.2 FA - Students &amp; Income'!H19+'4.2 FA - Students &amp; Income'!H20+'4.2 FA - Students &amp; Income'!H21+'4.2 FA - Students &amp; Income'!H28+'4.2 FA - Students &amp; Income'!H36+'4.2 FA - Students &amp; Income'!H38))+'Overhead data'!$B$8+('Overhead data'!$B$10*-H7)),('Overhead data'!$B$4+'Overhead data'!$B$6+('Overhead data'!$B$7*('4.2 FA - Students &amp; Income'!H11+'4.2 FA - Students &amp; Income'!H19+'4.2 FA - Students &amp; Income'!H20+'4.2 FA - Students &amp; Income'!H21+'4.2 FA - Students &amp; Income'!H28+'4.2 FA - Students &amp; Income'!H36+'4.2 FA - Students &amp; Income'!H38))+'Overhead data'!$B$9+('Overhead data'!$B$10*-H7))))*'Overhead data'!F15</f>
        <v>1102.1638981094841</v>
      </c>
      <c r="I18" s="102"/>
    </row>
    <row r="19" spans="1:10" x14ac:dyDescent="0.2">
      <c r="B19" s="104" t="s">
        <v>238</v>
      </c>
      <c r="C19" s="136">
        <f t="shared" ref="C19:H19" si="1">SUM(C13:C18)</f>
        <v>0</v>
      </c>
      <c r="D19" s="136">
        <f t="shared" si="1"/>
        <v>1018.229076</v>
      </c>
      <c r="E19" s="136">
        <f t="shared" si="1"/>
        <v>1038.5936575200001</v>
      </c>
      <c r="F19" s="136">
        <f t="shared" si="1"/>
        <v>1059.3655306703999</v>
      </c>
      <c r="G19" s="136">
        <f t="shared" si="1"/>
        <v>1080.552841283808</v>
      </c>
      <c r="H19" s="136">
        <f t="shared" si="1"/>
        <v>1102.1638981094841</v>
      </c>
      <c r="I19" s="102"/>
    </row>
    <row r="20" spans="1:10" x14ac:dyDescent="0.2">
      <c r="B20" s="101"/>
      <c r="C20" s="110"/>
      <c r="D20" s="105"/>
      <c r="E20" s="105"/>
      <c r="F20" s="105"/>
      <c r="G20" s="105"/>
      <c r="H20" s="105"/>
      <c r="I20" s="102"/>
    </row>
    <row r="21" spans="1:10" x14ac:dyDescent="0.2">
      <c r="A21" s="12" t="s">
        <v>301</v>
      </c>
      <c r="B21" s="107" t="s">
        <v>153</v>
      </c>
      <c r="C21" s="134">
        <f t="shared" ref="C21:H21" si="2">+C10-C19</f>
        <v>0</v>
      </c>
      <c r="D21" s="134">
        <f>+D10-D19</f>
        <v>-1018.229076</v>
      </c>
      <c r="E21" s="134">
        <f t="shared" si="2"/>
        <v>-1038.5936575200001</v>
      </c>
      <c r="F21" s="134">
        <f t="shared" si="2"/>
        <v>-1059.3655306703999</v>
      </c>
      <c r="G21" s="134">
        <f t="shared" si="2"/>
        <v>-1080.552841283808</v>
      </c>
      <c r="H21" s="134">
        <f t="shared" si="2"/>
        <v>-1102.1638981094841</v>
      </c>
      <c r="I21" s="102"/>
    </row>
    <row r="22" spans="1:10" x14ac:dyDescent="0.2">
      <c r="B22" s="101"/>
      <c r="C22" s="110"/>
      <c r="D22" s="105"/>
      <c r="E22" s="105"/>
      <c r="F22" s="105"/>
      <c r="G22" s="105"/>
      <c r="H22" s="105"/>
      <c r="I22" s="102"/>
    </row>
    <row r="23" spans="1:10" x14ac:dyDescent="0.2">
      <c r="A23" s="12" t="s">
        <v>302</v>
      </c>
      <c r="B23" s="103" t="s">
        <v>268</v>
      </c>
      <c r="C23" s="135"/>
      <c r="D23" s="114">
        <f>SUM(D13:D17)*0.1</f>
        <v>0</v>
      </c>
      <c r="E23" s="114">
        <f>SUM(E13:E17)*0.1</f>
        <v>0</v>
      </c>
      <c r="F23" s="114">
        <f>SUM(F13:F17)*0.1</f>
        <v>0</v>
      </c>
      <c r="G23" s="114">
        <f>SUM(G13:G17)*0.1</f>
        <v>0</v>
      </c>
      <c r="H23" s="114">
        <f>SUM(H13:H17)*0.1</f>
        <v>0</v>
      </c>
      <c r="I23" s="102"/>
    </row>
    <row r="24" spans="1:10" x14ac:dyDescent="0.2">
      <c r="A24" s="12" t="s">
        <v>303</v>
      </c>
      <c r="B24" s="106" t="s">
        <v>239</v>
      </c>
      <c r="C24" s="139">
        <f>'Overhead data'!$D$37/1600*'4.3 FA - Staff &amp; Direct Costs'!E35-C18-C23</f>
        <v>0</v>
      </c>
      <c r="D24" s="139">
        <f>'Overhead data'!$D$37/1600*'4.3 FA - Staff &amp; Direct Costs'!F35-D18-D23</f>
        <v>-1018.229076</v>
      </c>
      <c r="E24" s="139">
        <f>('Overhead data'!$D$37/1600*'4.3 FA - Staff &amp; Direct Costs'!G35*'Overhead data'!C15)-E18-E23</f>
        <v>-1038.5936575200001</v>
      </c>
      <c r="F24" s="139">
        <f>('Overhead data'!$D$37/1600*'4.3 FA - Staff &amp; Direct Costs'!H35*'Overhead data'!D15)-F18-F23</f>
        <v>-1059.3655306703999</v>
      </c>
      <c r="G24" s="139">
        <f>('Overhead data'!$D$37/1600*'4.3 FA - Staff &amp; Direct Costs'!I35*'Overhead data'!E15)-G18-G23</f>
        <v>-1080.552841283808</v>
      </c>
      <c r="H24" s="139">
        <f>('Overhead data'!$D$37/1600*'4.3 FA - Staff &amp; Direct Costs'!J35*'Overhead data'!F15)-H18-H23</f>
        <v>-1102.1638981094841</v>
      </c>
      <c r="I24" s="102"/>
      <c r="J24" s="12"/>
    </row>
    <row r="25" spans="1:10" x14ac:dyDescent="0.2">
      <c r="B25" s="106" t="s">
        <v>240</v>
      </c>
      <c r="C25" s="139">
        <f>+'Overhead data'!$E$37/1600*'4.3 FA - Staff &amp; Direct Costs'!E35</f>
        <v>0</v>
      </c>
      <c r="D25" s="139">
        <f>+'Overhead data'!$E$37/1600*'4.3 FA - Staff &amp; Direct Costs'!F35</f>
        <v>0</v>
      </c>
      <c r="E25" s="139">
        <f>+('Overhead data'!$E$37/1600*'4.3 FA - Staff &amp; Direct Costs'!G35)*'Overhead data'!C15</f>
        <v>0</v>
      </c>
      <c r="F25" s="139">
        <f>+('Overhead data'!$E$37/1600*'4.3 FA - Staff &amp; Direct Costs'!H35)*'Overhead data'!D15</f>
        <v>0</v>
      </c>
      <c r="G25" s="139">
        <f>+('Overhead data'!$E$37/1600*'4.3 FA - Staff &amp; Direct Costs'!I35)*'Overhead data'!E15</f>
        <v>0</v>
      </c>
      <c r="H25" s="139">
        <f>+('Overhead data'!$E$37/1600*'4.3 FA - Staff &amp; Direct Costs'!J35)*'Overhead data'!F15</f>
        <v>0</v>
      </c>
      <c r="I25" s="102"/>
    </row>
    <row r="26" spans="1:10" x14ac:dyDescent="0.2">
      <c r="B26" s="107" t="s">
        <v>241</v>
      </c>
      <c r="C26" s="136">
        <f t="shared" ref="C26:H26" si="3">SUM(C24:C25)</f>
        <v>0</v>
      </c>
      <c r="D26" s="136">
        <f t="shared" si="3"/>
        <v>-1018.229076</v>
      </c>
      <c r="E26" s="136">
        <f t="shared" si="3"/>
        <v>-1038.5936575200001</v>
      </c>
      <c r="F26" s="136">
        <f t="shared" si="3"/>
        <v>-1059.3655306703999</v>
      </c>
      <c r="G26" s="136">
        <f t="shared" si="3"/>
        <v>-1080.552841283808</v>
      </c>
      <c r="H26" s="136">
        <f t="shared" si="3"/>
        <v>-1102.1638981094841</v>
      </c>
      <c r="I26" s="102"/>
    </row>
    <row r="27" spans="1:10" x14ac:dyDescent="0.2">
      <c r="B27" s="101"/>
      <c r="C27" s="110"/>
      <c r="D27" s="105"/>
      <c r="E27" s="105"/>
      <c r="F27" s="105"/>
      <c r="G27" s="105"/>
      <c r="H27" s="105"/>
      <c r="I27" s="102"/>
    </row>
    <row r="28" spans="1:10" x14ac:dyDescent="0.2">
      <c r="B28" s="104" t="s">
        <v>242</v>
      </c>
      <c r="C28" s="136">
        <f t="shared" ref="C28:H28" si="4">+C19+C24+C25</f>
        <v>0</v>
      </c>
      <c r="D28" s="136">
        <f>+D19+D24+D25</f>
        <v>0</v>
      </c>
      <c r="E28" s="136">
        <f t="shared" si="4"/>
        <v>0</v>
      </c>
      <c r="F28" s="136">
        <f t="shared" si="4"/>
        <v>0</v>
      </c>
      <c r="G28" s="136">
        <f t="shared" si="4"/>
        <v>0</v>
      </c>
      <c r="H28" s="136">
        <f t="shared" si="4"/>
        <v>0</v>
      </c>
      <c r="I28" s="102"/>
    </row>
    <row r="29" spans="1:10" x14ac:dyDescent="0.2">
      <c r="B29" s="104"/>
      <c r="C29" s="131"/>
      <c r="D29" s="77"/>
      <c r="E29" s="77"/>
      <c r="F29" s="77"/>
      <c r="G29" s="77"/>
      <c r="H29" s="77"/>
      <c r="I29" s="102"/>
    </row>
    <row r="30" spans="1:10" x14ac:dyDescent="0.2">
      <c r="A30" s="12" t="s">
        <v>304</v>
      </c>
      <c r="B30" s="104" t="s">
        <v>243</v>
      </c>
      <c r="C30" s="134">
        <f t="shared" ref="C30:H30" si="5">+C10-C28</f>
        <v>0</v>
      </c>
      <c r="D30" s="134">
        <f t="shared" si="5"/>
        <v>0</v>
      </c>
      <c r="E30" s="134">
        <f t="shared" si="5"/>
        <v>0</v>
      </c>
      <c r="F30" s="134">
        <f t="shared" si="5"/>
        <v>0</v>
      </c>
      <c r="G30" s="134">
        <f t="shared" si="5"/>
        <v>0</v>
      </c>
      <c r="H30" s="134">
        <f t="shared" si="5"/>
        <v>0</v>
      </c>
      <c r="I30" s="102"/>
      <c r="J30" s="8"/>
    </row>
    <row r="31" spans="1:10" x14ac:dyDescent="0.2">
      <c r="B31" s="104" t="s">
        <v>244</v>
      </c>
      <c r="C31" s="141">
        <f>+C30</f>
        <v>0</v>
      </c>
      <c r="D31" s="141">
        <f>+D30+C31</f>
        <v>0</v>
      </c>
      <c r="E31" s="141">
        <f>+E30+D31</f>
        <v>0</v>
      </c>
      <c r="F31" s="141">
        <f>+F30+E31</f>
        <v>0</v>
      </c>
      <c r="G31" s="141">
        <f>+G30+F31</f>
        <v>0</v>
      </c>
      <c r="H31" s="141">
        <f>+H30+G31</f>
        <v>0</v>
      </c>
      <c r="I31" s="102"/>
    </row>
    <row r="32" spans="1:10" x14ac:dyDescent="0.2">
      <c r="B32" s="108"/>
      <c r="C32" s="54"/>
      <c r="D32" s="54"/>
      <c r="E32" s="54"/>
      <c r="F32" s="54"/>
      <c r="G32" s="54"/>
      <c r="H32" s="54"/>
      <c r="I32" s="109"/>
    </row>
    <row r="33" spans="1:9" x14ac:dyDescent="0.2">
      <c r="B33" s="110"/>
      <c r="C33" s="110"/>
      <c r="D33" s="110"/>
      <c r="E33" s="110"/>
      <c r="F33" s="110"/>
      <c r="G33" s="110"/>
      <c r="H33" s="110"/>
      <c r="I33" s="110"/>
    </row>
    <row r="34" spans="1:9" x14ac:dyDescent="0.2">
      <c r="A34" s="12" t="s">
        <v>305</v>
      </c>
      <c r="B34" s="111" t="s">
        <v>298</v>
      </c>
      <c r="C34" s="132"/>
      <c r="D34" s="112"/>
      <c r="E34" s="112"/>
      <c r="F34" s="112"/>
      <c r="G34" s="112"/>
      <c r="H34" s="112"/>
      <c r="I34" s="100"/>
    </row>
    <row r="35" spans="1:9" x14ac:dyDescent="0.2">
      <c r="B35" s="106" t="s">
        <v>152</v>
      </c>
      <c r="C35" s="170">
        <f t="shared" ref="C35:H35" si="6">+C10-C8</f>
        <v>0</v>
      </c>
      <c r="D35" s="170">
        <f t="shared" si="6"/>
        <v>0</v>
      </c>
      <c r="E35" s="170">
        <f t="shared" si="6"/>
        <v>0</v>
      </c>
      <c r="F35" s="170">
        <f t="shared" si="6"/>
        <v>0</v>
      </c>
      <c r="G35" s="170">
        <f t="shared" si="6"/>
        <v>0</v>
      </c>
      <c r="H35" s="170">
        <f t="shared" si="6"/>
        <v>0</v>
      </c>
      <c r="I35" s="102"/>
    </row>
    <row r="36" spans="1:9" x14ac:dyDescent="0.2">
      <c r="B36" s="106" t="s">
        <v>15</v>
      </c>
      <c r="C36" s="135">
        <f t="shared" ref="C36:H36" si="7">+C19-C18-C13</f>
        <v>0</v>
      </c>
      <c r="D36" s="135">
        <f t="shared" si="7"/>
        <v>0</v>
      </c>
      <c r="E36" s="135">
        <f t="shared" si="7"/>
        <v>0</v>
      </c>
      <c r="F36" s="135">
        <f t="shared" si="7"/>
        <v>0</v>
      </c>
      <c r="G36" s="135">
        <f t="shared" si="7"/>
        <v>0</v>
      </c>
      <c r="H36" s="135">
        <f t="shared" si="7"/>
        <v>0</v>
      </c>
      <c r="I36" s="102"/>
    </row>
    <row r="37" spans="1:9" x14ac:dyDescent="0.2">
      <c r="B37" s="107" t="s">
        <v>297</v>
      </c>
      <c r="C37" s="134">
        <f t="shared" ref="C37:H37" si="8">+C35-C36</f>
        <v>0</v>
      </c>
      <c r="D37" s="134">
        <f t="shared" si="8"/>
        <v>0</v>
      </c>
      <c r="E37" s="134">
        <f t="shared" si="8"/>
        <v>0</v>
      </c>
      <c r="F37" s="134">
        <f t="shared" si="8"/>
        <v>0</v>
      </c>
      <c r="G37" s="134">
        <f t="shared" si="8"/>
        <v>0</v>
      </c>
      <c r="H37" s="134">
        <f t="shared" si="8"/>
        <v>0</v>
      </c>
      <c r="I37" s="102"/>
    </row>
    <row r="38" spans="1:9" x14ac:dyDescent="0.2">
      <c r="B38" s="108"/>
      <c r="C38" s="54"/>
      <c r="D38" s="54"/>
      <c r="E38" s="54"/>
      <c r="F38" s="54"/>
      <c r="G38" s="54"/>
      <c r="H38" s="54"/>
      <c r="I38" s="109"/>
    </row>
    <row r="39" spans="1:9" x14ac:dyDescent="0.2">
      <c r="B39" s="110"/>
      <c r="C39" s="110"/>
      <c r="D39" s="110"/>
      <c r="E39" s="110"/>
      <c r="F39" s="110"/>
      <c r="G39" s="110"/>
      <c r="H39" s="110"/>
      <c r="I39" s="110"/>
    </row>
    <row r="40" spans="1:9" x14ac:dyDescent="0.2">
      <c r="A40" s="12" t="s">
        <v>306</v>
      </c>
      <c r="B40" s="98" t="s">
        <v>245</v>
      </c>
      <c r="C40" s="133"/>
      <c r="D40" s="112"/>
      <c r="E40" s="112"/>
      <c r="F40" s="112"/>
      <c r="G40" s="112"/>
      <c r="H40" s="112"/>
      <c r="I40" s="100"/>
    </row>
    <row r="41" spans="1:9" x14ac:dyDescent="0.2">
      <c r="B41" s="103" t="s">
        <v>246</v>
      </c>
      <c r="C41" s="171"/>
      <c r="D41" s="171">
        <f>IFERROR(ROUND(('4.2 FA - Students &amp; Income'!D11+'4.2 FA - Students &amp; Income'!D19+'4.2 FA - Students &amp; Income'!D20+'4.2 FA - Students &amp; Income'!D21+'4.2 FA - Students &amp; Income'!D28+'4.2 FA - Students &amp; Income'!D36+'4.2 FA - Students &amp; Income'!D37+'4.2 FA - Students &amp; Income'!D38)/('4.3 FA - Staff &amp; Direct Costs'!F35/1600),2), 0)</f>
        <v>0</v>
      </c>
      <c r="E41" s="171">
        <f>IFERROR(ROUND(('4.2 FA - Students &amp; Income'!E11+'4.2 FA - Students &amp; Income'!E19+'4.2 FA - Students &amp; Income'!E20+'4.2 FA - Students &amp; Income'!E21+'4.2 FA - Students &amp; Income'!E28+'4.2 FA - Students &amp; Income'!E36+'4.2 FA - Students &amp; Income'!E37+'4.2 FA - Students &amp; Income'!E38)/('4.3 FA - Staff &amp; Direct Costs'!G35/1600),2), 0)</f>
        <v>0</v>
      </c>
      <c r="F41" s="171">
        <f>IFERROR(ROUND(('4.2 FA - Students &amp; Income'!F11+'4.2 FA - Students &amp; Income'!F19+'4.2 FA - Students &amp; Income'!F20+'4.2 FA - Students &amp; Income'!F21+'4.2 FA - Students &amp; Income'!F28+'4.2 FA - Students &amp; Income'!F36+'4.2 FA - Students &amp; Income'!F37+'4.2 FA - Students &amp; Income'!F38)/('4.3 FA - Staff &amp; Direct Costs'!H35/1600),2), 0)</f>
        <v>0</v>
      </c>
      <c r="G41" s="171">
        <f>IFERROR(ROUND(('4.2 FA - Students &amp; Income'!G11+'4.2 FA - Students &amp; Income'!G19+'4.2 FA - Students &amp; Income'!G20+'4.2 FA - Students &amp; Income'!G21+'4.2 FA - Students &amp; Income'!G28+'4.2 FA - Students &amp; Income'!G36+'4.2 FA - Students &amp; Income'!G37+'4.2 FA - Students &amp; Income'!G38)/('4.3 FA - Staff &amp; Direct Costs'!I35/1600),2), 0)</f>
        <v>0</v>
      </c>
      <c r="H41" s="171">
        <f>IFERROR(ROUND(('4.2 FA - Students &amp; Income'!H11+'4.2 FA - Students &amp; Income'!H19+'4.2 FA - Students &amp; Income'!H20+'4.2 FA - Students &amp; Income'!H21+'4.2 FA - Students &amp; Income'!H28+'4.2 FA - Students &amp; Income'!H36+'4.2 FA - Students &amp; Income'!H37+'4.2 FA - Students &amp; Income'!H38)/('4.3 FA - Staff &amp; Direct Costs'!J35/1600),2), 0)</f>
        <v>0</v>
      </c>
      <c r="I41" s="102"/>
    </row>
    <row r="42" spans="1:9" x14ac:dyDescent="0.2">
      <c r="B42" s="101"/>
      <c r="C42" s="110"/>
      <c r="D42" s="110"/>
      <c r="E42" s="110"/>
      <c r="F42" s="110"/>
      <c r="G42" s="110"/>
      <c r="H42" s="110"/>
      <c r="I42" s="102"/>
    </row>
    <row r="43" spans="1:9" x14ac:dyDescent="0.2">
      <c r="B43" s="101" t="s">
        <v>247</v>
      </c>
      <c r="C43" s="135">
        <f>IFERROR(C10/('4.3 FA - Staff &amp; Direct Costs'!E35/1600),0)</f>
        <v>0</v>
      </c>
      <c r="D43" s="135">
        <f>IFERROR(D10/('4.3 FA - Staff &amp; Direct Costs'!F35/1600),0)</f>
        <v>0</v>
      </c>
      <c r="E43" s="135">
        <f>IFERROR(E10/('4.3 FA - Staff &amp; Direct Costs'!G35/1600),0)</f>
        <v>0</v>
      </c>
      <c r="F43" s="135">
        <f>IFERROR(F10/('4.3 FA - Staff &amp; Direct Costs'!H35/1600),0)</f>
        <v>0</v>
      </c>
      <c r="G43" s="135">
        <f>IFERROR(G10/('4.3 FA - Staff &amp; Direct Costs'!I35/1600),0)</f>
        <v>0</v>
      </c>
      <c r="H43" s="135">
        <f>IFERROR(H10/('4.3 FA - Staff &amp; Direct Costs'!J35/1600),0)</f>
        <v>0</v>
      </c>
      <c r="I43" s="102"/>
    </row>
    <row r="44" spans="1:9" x14ac:dyDescent="0.2">
      <c r="B44" s="101" t="s">
        <v>307</v>
      </c>
      <c r="C44" s="135">
        <f>IFERROR(C21/('4.3 FA - Staff &amp; Direct Costs'!E35/1600),0)</f>
        <v>0</v>
      </c>
      <c r="D44" s="135">
        <f>IFERROR(D21/('4.3 FA - Staff &amp; Direct Costs'!F35/1600),0)</f>
        <v>0</v>
      </c>
      <c r="E44" s="135">
        <f>IFERROR(E21/('4.3 FA - Staff &amp; Direct Costs'!G35/1600),0)</f>
        <v>0</v>
      </c>
      <c r="F44" s="135">
        <f>IFERROR(F21/('4.3 FA - Staff &amp; Direct Costs'!H35/1600),0)</f>
        <v>0</v>
      </c>
      <c r="G44" s="135">
        <f>IFERROR(G21/('4.3 FA - Staff &amp; Direct Costs'!I35/1600),0)</f>
        <v>0</v>
      </c>
      <c r="H44" s="135">
        <f>IFERROR(H21/('4.3 FA - Staff &amp; Direct Costs'!J35/1600),0)</f>
        <v>0</v>
      </c>
      <c r="I44" s="102"/>
    </row>
    <row r="45" spans="1:9" x14ac:dyDescent="0.2">
      <c r="B45" s="101"/>
      <c r="C45" s="110"/>
      <c r="D45" s="110"/>
      <c r="E45" s="110"/>
      <c r="F45" s="110"/>
      <c r="G45" s="110"/>
      <c r="H45" s="110"/>
      <c r="I45" s="102"/>
    </row>
    <row r="46" spans="1:9" x14ac:dyDescent="0.2">
      <c r="B46" s="101" t="s">
        <v>248</v>
      </c>
      <c r="C46" s="135">
        <f t="shared" ref="C46:H46" si="9">+C21</f>
        <v>0</v>
      </c>
      <c r="D46" s="135">
        <f t="shared" si="9"/>
        <v>-1018.229076</v>
      </c>
      <c r="E46" s="135">
        <f t="shared" si="9"/>
        <v>-1038.5936575200001</v>
      </c>
      <c r="F46" s="135">
        <f t="shared" si="9"/>
        <v>-1059.3655306703999</v>
      </c>
      <c r="G46" s="135">
        <f t="shared" si="9"/>
        <v>-1080.552841283808</v>
      </c>
      <c r="H46" s="135">
        <f t="shared" si="9"/>
        <v>-1102.1638981094841</v>
      </c>
      <c r="I46" s="102"/>
    </row>
    <row r="47" spans="1:9" x14ac:dyDescent="0.2">
      <c r="B47" s="101" t="s">
        <v>249</v>
      </c>
      <c r="C47" s="172">
        <f t="shared" ref="C47:H47" si="10">IFERROR(+C46/C10,0)</f>
        <v>0</v>
      </c>
      <c r="D47" s="172">
        <f t="shared" si="10"/>
        <v>0</v>
      </c>
      <c r="E47" s="172">
        <f t="shared" si="10"/>
        <v>0</v>
      </c>
      <c r="F47" s="172">
        <f t="shared" si="10"/>
        <v>0</v>
      </c>
      <c r="G47" s="172">
        <f t="shared" si="10"/>
        <v>0</v>
      </c>
      <c r="H47" s="172">
        <f t="shared" si="10"/>
        <v>0</v>
      </c>
      <c r="I47" s="102"/>
    </row>
    <row r="48" spans="1:9" x14ac:dyDescent="0.2">
      <c r="B48" s="101"/>
      <c r="C48" s="110"/>
      <c r="D48" s="110"/>
      <c r="E48" s="110"/>
      <c r="F48" s="110"/>
      <c r="G48" s="110"/>
      <c r="H48" s="110"/>
      <c r="I48" s="102"/>
    </row>
    <row r="49" spans="2:9" x14ac:dyDescent="0.2">
      <c r="B49" s="101" t="s">
        <v>250</v>
      </c>
      <c r="C49" s="172">
        <f t="shared" ref="C49:H49" si="11">IFERROR((C13+C14)/C10,0)</f>
        <v>0</v>
      </c>
      <c r="D49" s="172">
        <f t="shared" si="11"/>
        <v>0</v>
      </c>
      <c r="E49" s="172">
        <f t="shared" si="11"/>
        <v>0</v>
      </c>
      <c r="F49" s="172">
        <f t="shared" si="11"/>
        <v>0</v>
      </c>
      <c r="G49" s="172">
        <f t="shared" si="11"/>
        <v>0</v>
      </c>
      <c r="H49" s="172">
        <f t="shared" si="11"/>
        <v>0</v>
      </c>
      <c r="I49" s="102"/>
    </row>
    <row r="50" spans="2:9" x14ac:dyDescent="0.2">
      <c r="B50" s="101" t="s">
        <v>251</v>
      </c>
      <c r="C50" s="172">
        <f t="shared" ref="C50:H50" si="12">IFERROR((C30)/C10,0)</f>
        <v>0</v>
      </c>
      <c r="D50" s="172">
        <f t="shared" si="12"/>
        <v>0</v>
      </c>
      <c r="E50" s="172">
        <f t="shared" si="12"/>
        <v>0</v>
      </c>
      <c r="F50" s="172">
        <f t="shared" si="12"/>
        <v>0</v>
      </c>
      <c r="G50" s="172">
        <f t="shared" si="12"/>
        <v>0</v>
      </c>
      <c r="H50" s="172">
        <f t="shared" si="12"/>
        <v>0</v>
      </c>
      <c r="I50" s="102"/>
    </row>
    <row r="51" spans="2:9" x14ac:dyDescent="0.2">
      <c r="B51" s="101" t="s">
        <v>252</v>
      </c>
      <c r="C51" s="173">
        <f t="shared" ref="C51" si="13">IFERROR(C30/(F15+C14),0)</f>
        <v>0</v>
      </c>
      <c r="D51" s="173">
        <f>IFERROR(D30/(D13+D14),0)</f>
        <v>0</v>
      </c>
      <c r="E51" s="173">
        <f t="shared" ref="E51:H51" si="14">IFERROR(E30/(E13+E14),0)</f>
        <v>0</v>
      </c>
      <c r="F51" s="173">
        <f t="shared" si="14"/>
        <v>0</v>
      </c>
      <c r="G51" s="173">
        <f t="shared" si="14"/>
        <v>0</v>
      </c>
      <c r="H51" s="173">
        <f t="shared" si="14"/>
        <v>0</v>
      </c>
      <c r="I51" s="102"/>
    </row>
    <row r="52" spans="2:9" x14ac:dyDescent="0.2">
      <c r="B52" s="101"/>
      <c r="C52" s="110"/>
      <c r="D52" s="110"/>
      <c r="E52" s="110"/>
      <c r="F52" s="110"/>
      <c r="G52" s="110"/>
      <c r="H52" s="110"/>
      <c r="I52" s="102"/>
    </row>
    <row r="53" spans="2:9" x14ac:dyDescent="0.2">
      <c r="B53" s="104" t="s">
        <v>253</v>
      </c>
      <c r="C53" s="110"/>
      <c r="D53" s="110"/>
      <c r="E53" s="110"/>
      <c r="F53" s="110"/>
      <c r="G53" s="110"/>
      <c r="H53" s="110"/>
      <c r="I53" s="102"/>
    </row>
    <row r="54" spans="2:9" x14ac:dyDescent="0.2">
      <c r="B54" s="101" t="s">
        <v>22</v>
      </c>
      <c r="C54" s="170">
        <f t="shared" ref="C54:H54" si="15">C10-(SUM(C13:C17))*1.1</f>
        <v>0</v>
      </c>
      <c r="D54" s="170">
        <f t="shared" si="15"/>
        <v>0</v>
      </c>
      <c r="E54" s="170">
        <f t="shared" si="15"/>
        <v>0</v>
      </c>
      <c r="F54" s="170">
        <f t="shared" si="15"/>
        <v>0</v>
      </c>
      <c r="G54" s="170">
        <f t="shared" si="15"/>
        <v>0</v>
      </c>
      <c r="H54" s="170">
        <f t="shared" si="15"/>
        <v>0</v>
      </c>
      <c r="I54" s="102"/>
    </row>
    <row r="55" spans="2:9" x14ac:dyDescent="0.2">
      <c r="B55" s="101" t="s">
        <v>254</v>
      </c>
      <c r="C55" s="170">
        <f t="shared" ref="C55:H55" si="16">C$10-(SUM(C$13:C$16)*1.15)</f>
        <v>0</v>
      </c>
      <c r="D55" s="170">
        <f t="shared" si="16"/>
        <v>0</v>
      </c>
      <c r="E55" s="170">
        <f t="shared" si="16"/>
        <v>0</v>
      </c>
      <c r="F55" s="170">
        <f t="shared" si="16"/>
        <v>0</v>
      </c>
      <c r="G55" s="170">
        <f t="shared" si="16"/>
        <v>0</v>
      </c>
      <c r="H55" s="170">
        <f t="shared" si="16"/>
        <v>0</v>
      </c>
      <c r="I55" s="102"/>
    </row>
    <row r="56" spans="2:9" x14ac:dyDescent="0.2">
      <c r="B56" s="101" t="s">
        <v>21</v>
      </c>
      <c r="C56" s="170">
        <f t="shared" ref="C56:H56" si="17">+C10*0.9-C28</f>
        <v>0</v>
      </c>
      <c r="D56" s="170">
        <f t="shared" si="17"/>
        <v>0</v>
      </c>
      <c r="E56" s="170">
        <f t="shared" si="17"/>
        <v>0</v>
      </c>
      <c r="F56" s="170">
        <f t="shared" si="17"/>
        <v>0</v>
      </c>
      <c r="G56" s="170">
        <f t="shared" si="17"/>
        <v>0</v>
      </c>
      <c r="H56" s="170">
        <f t="shared" si="17"/>
        <v>0</v>
      </c>
      <c r="I56" s="102"/>
    </row>
    <row r="57" spans="2:9" x14ac:dyDescent="0.2">
      <c r="B57" s="101" t="s">
        <v>255</v>
      </c>
      <c r="C57" s="170">
        <f t="shared" ref="C57:H57" si="18">+C10*0.85-C28</f>
        <v>0</v>
      </c>
      <c r="D57" s="170">
        <f t="shared" si="18"/>
        <v>0</v>
      </c>
      <c r="E57" s="170">
        <f t="shared" si="18"/>
        <v>0</v>
      </c>
      <c r="F57" s="170">
        <f t="shared" si="18"/>
        <v>0</v>
      </c>
      <c r="G57" s="170">
        <f t="shared" si="18"/>
        <v>0</v>
      </c>
      <c r="H57" s="170">
        <f t="shared" si="18"/>
        <v>0</v>
      </c>
      <c r="I57" s="102"/>
    </row>
    <row r="58" spans="2:9" x14ac:dyDescent="0.2">
      <c r="B58" s="101" t="s">
        <v>23</v>
      </c>
      <c r="C58" s="170">
        <f t="shared" ref="C58:H58" si="19">+C10*0.9-C28*1.1</f>
        <v>0</v>
      </c>
      <c r="D58" s="170">
        <f t="shared" si="19"/>
        <v>0</v>
      </c>
      <c r="E58" s="170">
        <f t="shared" si="19"/>
        <v>0</v>
      </c>
      <c r="F58" s="170">
        <f t="shared" si="19"/>
        <v>0</v>
      </c>
      <c r="G58" s="170">
        <f t="shared" si="19"/>
        <v>0</v>
      </c>
      <c r="H58" s="170">
        <f t="shared" si="19"/>
        <v>0</v>
      </c>
      <c r="I58" s="102"/>
    </row>
    <row r="59" spans="2:9" x14ac:dyDescent="0.2">
      <c r="B59" s="101" t="s">
        <v>256</v>
      </c>
      <c r="C59" s="170">
        <f t="shared" ref="C59:H59" si="20">+C10*0.85-C28*1.15</f>
        <v>0</v>
      </c>
      <c r="D59" s="170">
        <f t="shared" si="20"/>
        <v>0</v>
      </c>
      <c r="E59" s="170">
        <f t="shared" si="20"/>
        <v>0</v>
      </c>
      <c r="F59" s="170">
        <f t="shared" si="20"/>
        <v>0</v>
      </c>
      <c r="G59" s="170">
        <f t="shared" si="20"/>
        <v>0</v>
      </c>
      <c r="H59" s="170">
        <f t="shared" si="20"/>
        <v>0</v>
      </c>
      <c r="I59" s="102"/>
    </row>
    <row r="60" spans="2:9" x14ac:dyDescent="0.2">
      <c r="B60" s="101"/>
      <c r="C60" s="110"/>
      <c r="D60" s="110"/>
      <c r="E60" s="110"/>
      <c r="F60" s="110"/>
      <c r="G60" s="110"/>
      <c r="H60" s="110"/>
      <c r="I60" s="102"/>
    </row>
    <row r="61" spans="2:9" x14ac:dyDescent="0.2">
      <c r="B61" s="104" t="s">
        <v>257</v>
      </c>
      <c r="C61" s="110"/>
      <c r="D61" s="110"/>
      <c r="E61" s="110"/>
      <c r="F61" s="110"/>
      <c r="G61" s="110"/>
      <c r="H61" s="110"/>
      <c r="I61" s="102"/>
    </row>
    <row r="62" spans="2:9" x14ac:dyDescent="0.2">
      <c r="B62" s="101" t="s">
        <v>258</v>
      </c>
      <c r="C62" s="174">
        <f t="shared" ref="C62:H62" si="21">ROUND((C13+C14)*1.3,0)</f>
        <v>0</v>
      </c>
      <c r="D62" s="174">
        <f t="shared" si="21"/>
        <v>0</v>
      </c>
      <c r="E62" s="174">
        <f t="shared" si="21"/>
        <v>0</v>
      </c>
      <c r="F62" s="174">
        <f t="shared" si="21"/>
        <v>0</v>
      </c>
      <c r="G62" s="174">
        <f t="shared" si="21"/>
        <v>0</v>
      </c>
      <c r="H62" s="174">
        <f t="shared" si="21"/>
        <v>0</v>
      </c>
      <c r="I62" s="102"/>
    </row>
    <row r="63" spans="2:9" x14ac:dyDescent="0.2">
      <c r="B63" s="101" t="s">
        <v>259</v>
      </c>
      <c r="C63" s="175">
        <f>+C10-C62</f>
        <v>0</v>
      </c>
      <c r="D63" s="175">
        <f>+D10-D62</f>
        <v>0</v>
      </c>
      <c r="E63" s="175">
        <f t="shared" ref="E63:H63" si="22">+E10-E62</f>
        <v>0</v>
      </c>
      <c r="F63" s="175">
        <f t="shared" si="22"/>
        <v>0</v>
      </c>
      <c r="G63" s="175">
        <f t="shared" si="22"/>
        <v>0</v>
      </c>
      <c r="H63" s="175">
        <f t="shared" si="22"/>
        <v>0</v>
      </c>
      <c r="I63" s="102"/>
    </row>
    <row r="64" spans="2:9" x14ac:dyDescent="0.2">
      <c r="B64" s="108"/>
      <c r="C64" s="54"/>
      <c r="D64" s="54"/>
      <c r="E64" s="54"/>
      <c r="F64" s="54"/>
      <c r="G64" s="54"/>
      <c r="H64" s="54"/>
      <c r="I64" s="109"/>
    </row>
    <row r="65" spans="2:7" ht="24.95" customHeight="1" x14ac:dyDescent="0.2">
      <c r="B65" s="1" t="s">
        <v>41</v>
      </c>
      <c r="C65" s="1" t="s">
        <v>39</v>
      </c>
      <c r="D65" s="1"/>
      <c r="E65" s="1"/>
      <c r="F65" s="1"/>
      <c r="G65" s="1"/>
    </row>
    <row r="66" spans="2:7" ht="24.95" customHeight="1" x14ac:dyDescent="0.2">
      <c r="B66" s="1" t="s">
        <v>260</v>
      </c>
      <c r="C66" s="113"/>
      <c r="D66" s="113"/>
      <c r="E66" s="113"/>
      <c r="F66" s="113"/>
      <c r="G66" s="1"/>
    </row>
    <row r="67" spans="2:7" ht="24.95" customHeight="1" x14ac:dyDescent="0.2">
      <c r="B67" s="60" t="s">
        <v>261</v>
      </c>
      <c r="C67" s="113"/>
      <c r="D67" s="113"/>
      <c r="E67" s="113"/>
      <c r="F67" s="113"/>
      <c r="G67" s="1"/>
    </row>
  </sheetData>
  <phoneticPr fontId="0" type="noConversion"/>
  <printOptions gridLines="1"/>
  <pageMargins left="0.75" right="0.75" top="1" bottom="1" header="0.5" footer="0.5"/>
  <pageSetup paperSize="9" scale="62" orientation="portrait" r:id="rId1"/>
  <headerFooter alignWithMargins="0">
    <oddHeader>&amp;C&amp;"Arial,Bold"&amp;14&amp;F</oddHeader>
    <oddFooter>&amp;R&amp;P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4" zoomScaleNormal="100" workbookViewId="0">
      <selection activeCell="A34" sqref="A34"/>
    </sheetView>
  </sheetViews>
  <sheetFormatPr defaultRowHeight="12.75" x14ac:dyDescent="0.2"/>
  <cols>
    <col min="1" max="1" width="30.28515625" style="24" bestFit="1" customWidth="1"/>
    <col min="2" max="2" width="12.42578125" style="24" bestFit="1" customWidth="1"/>
    <col min="3" max="3" width="15.7109375" style="24" bestFit="1" customWidth="1"/>
    <col min="4" max="4" width="11.28515625" style="24" customWidth="1"/>
    <col min="5" max="5" width="14" style="24" bestFit="1" customWidth="1"/>
    <col min="6" max="8" width="9.28515625" style="24" bestFit="1" customWidth="1"/>
    <col min="9" max="16384" width="9.140625" style="24"/>
  </cols>
  <sheetData>
    <row r="1" spans="1:11" x14ac:dyDescent="0.2">
      <c r="A1" s="24" t="s">
        <v>128</v>
      </c>
    </row>
    <row r="2" spans="1:11" x14ac:dyDescent="0.2">
      <c r="A2" s="25" t="s">
        <v>116</v>
      </c>
    </row>
    <row r="3" spans="1:11" x14ac:dyDescent="0.2">
      <c r="A3" s="25"/>
      <c r="B3" s="41" t="s">
        <v>14</v>
      </c>
    </row>
    <row r="4" spans="1:11" x14ac:dyDescent="0.2">
      <c r="A4" s="26" t="s">
        <v>117</v>
      </c>
      <c r="B4" s="80">
        <f>440*1.01*1.02*1.02*1.02</f>
        <v>471.60083520000001</v>
      </c>
      <c r="C4" s="27" t="s">
        <v>119</v>
      </c>
      <c r="D4" s="27"/>
      <c r="E4" s="27"/>
      <c r="F4" s="27"/>
      <c r="G4" s="27"/>
      <c r="H4" s="27"/>
      <c r="I4" s="28"/>
    </row>
    <row r="5" spans="1:11" x14ac:dyDescent="0.2">
      <c r="A5" s="43" t="s">
        <v>118</v>
      </c>
      <c r="B5" s="81">
        <f>710*1.01*1.02*1.02*1.02</f>
        <v>760.99225679999995</v>
      </c>
      <c r="C5" s="36" t="s">
        <v>120</v>
      </c>
      <c r="D5" s="36"/>
      <c r="E5" s="36"/>
      <c r="F5" s="36"/>
      <c r="G5" s="36"/>
      <c r="H5" s="36"/>
      <c r="I5" s="37"/>
    </row>
    <row r="6" spans="1:11" x14ac:dyDescent="0.2">
      <c r="A6" s="29"/>
      <c r="B6" s="82">
        <f>315*1.01*1.02*1.02*1.02</f>
        <v>337.62332519999995</v>
      </c>
      <c r="C6" s="30" t="s">
        <v>121</v>
      </c>
      <c r="D6" s="30"/>
      <c r="E6" s="30"/>
      <c r="F6" s="30"/>
      <c r="G6" s="30"/>
      <c r="H6" s="30"/>
      <c r="I6" s="31"/>
    </row>
    <row r="7" spans="1:11" ht="25.5" x14ac:dyDescent="0.2">
      <c r="A7" s="34" t="s">
        <v>122</v>
      </c>
      <c r="B7" s="80">
        <f>20*1.01*1.02*1.02*1.02</f>
        <v>21.4364016</v>
      </c>
      <c r="C7" s="27" t="s">
        <v>123</v>
      </c>
      <c r="D7" s="27"/>
      <c r="E7" s="27"/>
      <c r="F7" s="27"/>
      <c r="G7" s="27"/>
      <c r="H7" s="27"/>
      <c r="I7" s="28"/>
    </row>
    <row r="8" spans="1:11" x14ac:dyDescent="0.2">
      <c r="A8" s="35"/>
      <c r="B8" s="81">
        <f>230*1.01*1.02*1.02*1.02</f>
        <v>246.51861840000004</v>
      </c>
      <c r="C8" s="36" t="s">
        <v>124</v>
      </c>
      <c r="D8" s="36"/>
      <c r="E8" s="36"/>
      <c r="F8" s="36"/>
      <c r="G8" s="36"/>
      <c r="H8" s="36"/>
      <c r="I8" s="37"/>
    </row>
    <row r="9" spans="1:11" x14ac:dyDescent="0.2">
      <c r="A9" s="38"/>
      <c r="B9" s="82">
        <f>195*1.01*1.02*1.02*1.02</f>
        <v>209.0049156</v>
      </c>
      <c r="C9" s="30" t="s">
        <v>125</v>
      </c>
      <c r="D9" s="30"/>
      <c r="E9" s="30"/>
      <c r="F9" s="30"/>
      <c r="G9" s="30"/>
      <c r="H9" s="30"/>
      <c r="I9" s="31"/>
    </row>
    <row r="10" spans="1:11" x14ac:dyDescent="0.2">
      <c r="A10" s="39" t="s">
        <v>126</v>
      </c>
      <c r="B10" s="40">
        <v>1.4999999999999999E-2</v>
      </c>
      <c r="C10" s="32" t="s">
        <v>127</v>
      </c>
      <c r="D10" s="32"/>
      <c r="E10" s="32"/>
      <c r="F10" s="32"/>
      <c r="G10" s="32"/>
      <c r="H10" s="32"/>
      <c r="I10" s="33"/>
    </row>
    <row r="13" spans="1:11" s="36" customFormat="1" x14ac:dyDescent="0.2">
      <c r="A13" s="115" t="s">
        <v>269</v>
      </c>
      <c r="B13" s="73" t="s">
        <v>146</v>
      </c>
      <c r="C13" s="73" t="s">
        <v>147</v>
      </c>
      <c r="D13" s="73" t="s">
        <v>148</v>
      </c>
      <c r="E13" s="73" t="s">
        <v>149</v>
      </c>
      <c r="F13" s="73" t="s">
        <v>150</v>
      </c>
      <c r="G13" s="73"/>
      <c r="H13" s="73"/>
      <c r="I13" s="73"/>
      <c r="J13" s="73"/>
      <c r="K13" s="73"/>
    </row>
    <row r="14" spans="1:11" s="36" customFormat="1" x14ac:dyDescent="0.2">
      <c r="A14" s="72"/>
      <c r="B14" s="73"/>
      <c r="C14" s="73"/>
      <c r="D14" s="73"/>
      <c r="E14" s="73"/>
      <c r="F14" s="73"/>
      <c r="G14" s="73"/>
    </row>
    <row r="15" spans="1:11" s="36" customFormat="1" x14ac:dyDescent="0.2">
      <c r="A15" s="24" t="s">
        <v>270</v>
      </c>
      <c r="B15" s="74">
        <v>1</v>
      </c>
      <c r="C15" s="74">
        <f>+B15*1.02</f>
        <v>1.02</v>
      </c>
      <c r="D15" s="74">
        <f>+C15*1.02</f>
        <v>1.0404</v>
      </c>
      <c r="E15" s="74">
        <f>+D15*1.02</f>
        <v>1.0612079999999999</v>
      </c>
      <c r="F15" s="74">
        <f>+E15*1.02</f>
        <v>1.08243216</v>
      </c>
      <c r="G15" s="74"/>
      <c r="H15" s="74"/>
      <c r="I15" s="74"/>
      <c r="J15" s="74"/>
      <c r="K15" s="74"/>
    </row>
    <row r="16" spans="1:11" s="36" customFormat="1" x14ac:dyDescent="0.2">
      <c r="A16" s="192" t="s">
        <v>322</v>
      </c>
      <c r="B16" s="74">
        <v>1</v>
      </c>
      <c r="C16" s="74">
        <f>+B16*1.015</f>
        <v>1.0149999999999999</v>
      </c>
      <c r="D16" s="74">
        <f>+C16*1.015</f>
        <v>1.0302249999999997</v>
      </c>
      <c r="E16" s="74">
        <f>+D16*1.015</f>
        <v>1.0456783749999996</v>
      </c>
      <c r="F16" s="74">
        <f>+E16*1.015</f>
        <v>1.0613635506249994</v>
      </c>
      <c r="G16" s="74"/>
      <c r="H16" s="74"/>
      <c r="I16" s="74"/>
      <c r="J16" s="74"/>
      <c r="K16" s="74"/>
    </row>
    <row r="17" spans="1:11" s="36" customFormat="1" x14ac:dyDescent="0.2">
      <c r="A17" s="116" t="s">
        <v>271</v>
      </c>
      <c r="B17" s="117">
        <v>1</v>
      </c>
      <c r="C17" s="117">
        <v>1.04</v>
      </c>
      <c r="D17" s="117">
        <f>+C17*1.04</f>
        <v>1.0816000000000001</v>
      </c>
      <c r="E17" s="117">
        <f>+D17*1.04</f>
        <v>1.1248640000000001</v>
      </c>
      <c r="F17" s="117">
        <f>+E17*1.04</f>
        <v>1.1698585600000002</v>
      </c>
      <c r="G17" s="117"/>
      <c r="H17" s="117"/>
      <c r="I17" s="117"/>
      <c r="J17" s="117"/>
      <c r="K17" s="117"/>
    </row>
    <row r="18" spans="1:11" s="36" customFormat="1" x14ac:dyDescent="0.2">
      <c r="C18" s="118"/>
      <c r="D18" s="118"/>
      <c r="E18" s="118"/>
      <c r="F18" s="118"/>
      <c r="G18" s="118"/>
      <c r="H18" s="118"/>
      <c r="I18" s="119"/>
    </row>
    <row r="19" spans="1:11" s="36" customFormat="1" x14ac:dyDescent="0.2"/>
    <row r="20" spans="1:11" s="36" customFormat="1" x14ac:dyDescent="0.2"/>
    <row r="21" spans="1:11" s="36" customFormat="1" x14ac:dyDescent="0.2">
      <c r="B21" s="120" t="s">
        <v>321</v>
      </c>
    </row>
    <row r="22" spans="1:11" s="36" customFormat="1" x14ac:dyDescent="0.2">
      <c r="B22" s="121"/>
      <c r="C22" s="121" t="s">
        <v>272</v>
      </c>
      <c r="D22" s="122"/>
      <c r="E22" s="122"/>
      <c r="F22" s="122"/>
      <c r="G22" s="121" t="s">
        <v>273</v>
      </c>
      <c r="H22" s="122"/>
      <c r="I22" s="122"/>
      <c r="J22" s="122"/>
    </row>
    <row r="23" spans="1:11" s="36" customFormat="1" x14ac:dyDescent="0.2">
      <c r="B23" s="122"/>
      <c r="C23" s="121" t="s">
        <v>2</v>
      </c>
      <c r="D23" s="121" t="s">
        <v>3</v>
      </c>
      <c r="E23" s="121" t="s">
        <v>274</v>
      </c>
      <c r="F23" s="121" t="s">
        <v>275</v>
      </c>
      <c r="G23" s="121" t="s">
        <v>2</v>
      </c>
      <c r="H23" s="121" t="s">
        <v>3</v>
      </c>
      <c r="I23" s="121" t="s">
        <v>274</v>
      </c>
      <c r="J23" s="121" t="s">
        <v>275</v>
      </c>
    </row>
    <row r="24" spans="1:11" s="36" customFormat="1" x14ac:dyDescent="0.2">
      <c r="A24" s="123" t="s">
        <v>276</v>
      </c>
      <c r="B24" s="121" t="s">
        <v>277</v>
      </c>
      <c r="C24" s="124">
        <v>5310</v>
      </c>
      <c r="D24" s="125">
        <v>2710</v>
      </c>
      <c r="E24" s="124">
        <v>1149</v>
      </c>
      <c r="F24" s="124">
        <f>+C24/9</f>
        <v>590</v>
      </c>
      <c r="G24" s="124">
        <v>12870</v>
      </c>
      <c r="H24" s="124">
        <v>6560</v>
      </c>
      <c r="I24" s="124">
        <f>+E24</f>
        <v>1149</v>
      </c>
      <c r="J24" s="124">
        <f>+G24/9</f>
        <v>1430</v>
      </c>
    </row>
    <row r="25" spans="1:11" s="36" customFormat="1" x14ac:dyDescent="0.2">
      <c r="A25" s="126">
        <v>0.9</v>
      </c>
      <c r="B25" s="121" t="s">
        <v>278</v>
      </c>
      <c r="C25" s="124">
        <v>4870</v>
      </c>
      <c r="D25" s="124">
        <v>2440</v>
      </c>
      <c r="E25" s="124">
        <v>1149</v>
      </c>
      <c r="F25" s="124">
        <f>+F24</f>
        <v>590</v>
      </c>
      <c r="G25" s="124">
        <v>11580</v>
      </c>
      <c r="H25" s="124">
        <v>5900</v>
      </c>
      <c r="I25" s="124">
        <f t="shared" ref="I25:I26" si="0">+E25</f>
        <v>1149</v>
      </c>
      <c r="J25" s="124">
        <f>+J24</f>
        <v>1430</v>
      </c>
    </row>
    <row r="26" spans="1:11" s="36" customFormat="1" x14ac:dyDescent="0.2">
      <c r="A26" s="126">
        <v>0.5</v>
      </c>
      <c r="B26" s="121" t="s">
        <v>279</v>
      </c>
      <c r="C26" s="124">
        <v>2655</v>
      </c>
      <c r="D26" s="124">
        <v>1355</v>
      </c>
      <c r="E26" s="124">
        <v>1149</v>
      </c>
      <c r="F26" s="124">
        <f>+F25</f>
        <v>590</v>
      </c>
      <c r="G26" s="124">
        <v>6435</v>
      </c>
      <c r="H26" s="124">
        <v>3280</v>
      </c>
      <c r="I26" s="124">
        <f t="shared" si="0"/>
        <v>1149</v>
      </c>
      <c r="J26" s="124">
        <f>+J25</f>
        <v>1430</v>
      </c>
    </row>
    <row r="27" spans="1:11" s="36" customFormat="1" x14ac:dyDescent="0.2"/>
    <row r="28" spans="1:11" s="36" customFormat="1" x14ac:dyDescent="0.2">
      <c r="B28" s="116" t="s">
        <v>280</v>
      </c>
    </row>
    <row r="29" spans="1:11" s="36" customFormat="1" x14ac:dyDescent="0.2"/>
    <row r="30" spans="1:11" s="36" customFormat="1" x14ac:dyDescent="0.2"/>
    <row r="31" spans="1:11" s="36" customFormat="1" x14ac:dyDescent="0.2">
      <c r="A31" s="120" t="s">
        <v>323</v>
      </c>
    </row>
    <row r="32" spans="1:11" s="36" customFormat="1" x14ac:dyDescent="0.2">
      <c r="A32" s="120"/>
      <c r="B32" s="127"/>
      <c r="C32" s="127" t="s">
        <v>4</v>
      </c>
      <c r="D32" s="127" t="s">
        <v>155</v>
      </c>
      <c r="E32" s="127" t="s">
        <v>281</v>
      </c>
    </row>
    <row r="33" spans="1:5" s="36" customFormat="1" x14ac:dyDescent="0.2">
      <c r="A33" s="116" t="s">
        <v>282</v>
      </c>
      <c r="B33" s="121" t="s">
        <v>202</v>
      </c>
      <c r="C33" s="124">
        <f>121860.988694814*1.02*1.02</f>
        <v>126784.17263808449</v>
      </c>
      <c r="D33" s="124">
        <f>+C33-E33</f>
        <v>17749.784169331833</v>
      </c>
      <c r="E33" s="193">
        <f>+C33*0.86</f>
        <v>109034.38846875266</v>
      </c>
    </row>
    <row r="34" spans="1:5" s="36" customFormat="1" x14ac:dyDescent="0.2">
      <c r="A34" s="116" t="s">
        <v>283</v>
      </c>
      <c r="B34" s="121"/>
      <c r="C34" s="124">
        <f>27542.3385291458*1.02*1.02</f>
        <v>28655.049005723293</v>
      </c>
      <c r="D34" s="124">
        <f>+C34*0.08</f>
        <v>2292.4039204578635</v>
      </c>
      <c r="E34" s="193">
        <f>+C34-D34</f>
        <v>26362.645085265431</v>
      </c>
    </row>
    <row r="35" spans="1:5" s="36" customFormat="1" x14ac:dyDescent="0.2">
      <c r="B35" s="121" t="s">
        <v>284</v>
      </c>
      <c r="C35" s="193">
        <f>SUM(C33:C34)</f>
        <v>155439.22164380777</v>
      </c>
      <c r="D35" s="193">
        <f>SUM(D33:D34)</f>
        <v>20042.188089789695</v>
      </c>
      <c r="E35" s="193">
        <f>SUM(E33:E34)</f>
        <v>135397.0335540181</v>
      </c>
    </row>
    <row r="36" spans="1:5" s="36" customFormat="1" x14ac:dyDescent="0.2"/>
    <row r="37" spans="1:5" s="36" customFormat="1" x14ac:dyDescent="0.2">
      <c r="A37" s="116" t="s">
        <v>285</v>
      </c>
      <c r="B37" s="127">
        <f>+'4.1 FA - Basic Info'!C14</f>
        <v>0</v>
      </c>
      <c r="D37" s="124">
        <f>IF($B$25="Yes - Onsite",D35,D33)</f>
        <v>17749.784169331833</v>
      </c>
      <c r="E37" s="124">
        <f>IF($B$25="Yes - Onsite",E35,E33)</f>
        <v>109034.38846875266</v>
      </c>
    </row>
    <row r="40" spans="1:5" x14ac:dyDescent="0.2">
      <c r="A40" s="24" t="s">
        <v>308</v>
      </c>
      <c r="B40" s="24">
        <v>1600</v>
      </c>
    </row>
  </sheetData>
  <phoneticPr fontId="0" type="noConversion"/>
  <pageMargins left="0.75" right="0.75" top="1" bottom="1" header="0.5" footer="0.5"/>
  <pageSetup paperSize="9" scale="62" orientation="portrait" r:id="rId1"/>
  <headerFooter alignWithMargins="0">
    <oddHeader>&amp;C&amp;"Arial,Bold"&amp;14&amp;F</oddHeader>
    <oddFooter>&amp;Lv.1 (May 2010)&amp;R&amp;P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Summary Data</vt:lpstr>
      <vt:lpstr>4.1 FA - Basic Info</vt:lpstr>
      <vt:lpstr>4.2 FA - Students &amp; Income</vt:lpstr>
      <vt:lpstr>4.3 FA - Staff &amp; Direct Costs</vt:lpstr>
      <vt:lpstr>4.4 Summary I&amp;E (full cost)</vt:lpstr>
      <vt:lpstr>Overhead data</vt:lpstr>
      <vt:lpstr>AV</vt:lpstr>
      <vt:lpstr>Equipment</vt:lpstr>
      <vt:lpstr>Field</vt:lpstr>
      <vt:lpstr>Materials</vt:lpstr>
      <vt:lpstr>Other</vt:lpstr>
      <vt:lpstr>'1. Summary Data'!Print_Area</vt:lpstr>
      <vt:lpstr>'4.1 FA - Basic Info'!Print_Area</vt:lpstr>
      <vt:lpstr>'4.2 FA - Students &amp; Income'!Print_Area</vt:lpstr>
      <vt:lpstr>'4.3 FA - Staff &amp; Direct Costs'!Print_Area</vt:lpstr>
      <vt:lpstr>'4.4 Summary I&amp;E (full cost)'!Print_Area</vt:lpstr>
      <vt:lpstr>'4.2 FA - Students &amp;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Large</dc:creator>
  <cp:lastModifiedBy>Sian King</cp:lastModifiedBy>
  <cp:lastPrinted>2016-03-24T15:47:18Z</cp:lastPrinted>
  <dcterms:created xsi:type="dcterms:W3CDTF">2001-04-12T09:27:33Z</dcterms:created>
  <dcterms:modified xsi:type="dcterms:W3CDTF">2018-06-03T22:10:02Z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-727679333</vt:i4>
  </property>
  <property fmtid="{D5CDD505-2E9C-101B-9397-08002B2CF9AE}" pid="3" name="_EmailSubject">
    <vt:lpwstr/>
  </property>
  <property fmtid="{D5CDD505-2E9C-101B-9397-08002B2CF9AE}" pid="4" name="_AuthorEmail">
    <vt:lpwstr>sian.king@brookes.ac.uk</vt:lpwstr>
  </property>
  <property fmtid="{D5CDD505-2E9C-101B-9397-08002B2CF9AE}" pid="5" name="_AuthorEmailDisplayName">
    <vt:lpwstr>Sian King</vt:lpwstr>
  </property>
  <property fmtid="{D5CDD505-2E9C-101B-9397-08002B2CF9AE}" pid="6" name="_ReviewingToolsShownOnce">
    <vt:lpwstr/>
  </property>
</Properties>
</file>